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workbookProtection workbookPassword="CE76" lockStructure="1"/>
  <bookViews>
    <workbookView xWindow="-108" yWindow="-108" windowWidth="19416" windowHeight="10416" firstSheet="1" activeTab="1"/>
  </bookViews>
  <sheets>
    <sheet name="fixation on confirm_1" sheetId="3" state="hidden" r:id="rId1"/>
    <sheet name="INTRO" sheetId="10" r:id="rId2"/>
    <sheet name="MASTER" sheetId="9" r:id="rId3"/>
    <sheet name="ORDER" sheetId="5" r:id="rId4"/>
    <sheet name="DATA ENTRY" sheetId="6" r:id="rId5"/>
    <sheet name="ARREAR" sheetId="8" r:id="rId6"/>
    <sheet name="control" sheetId="7" state="hidden" r:id="rId7"/>
    <sheet name="7th pay chart" sheetId="2" r:id="rId8"/>
  </sheets>
  <externalReferences>
    <externalReference r:id="rId9"/>
    <externalReference r:id="rId10"/>
  </externalReferences>
  <definedNames>
    <definedName name="_l2" localSheetId="3">ORDER!$X$11</definedName>
    <definedName name="_l2">'fixation on confirm_1'!$Q$9</definedName>
    <definedName name="ACP" localSheetId="7">[1]ACP!$S$2:$S$9</definedName>
    <definedName name="ACP" localSheetId="3">#REF!</definedName>
    <definedName name="ACP">#REF!</definedName>
    <definedName name="L_1" localSheetId="3">ORDER!$AB$14:$AB$51</definedName>
    <definedName name="L_1">'fixation on confirm_1'!$U$12:$U$51</definedName>
    <definedName name="L_10" localSheetId="3">ORDER!$AK$14:$AK$51</definedName>
    <definedName name="L_10">'fixation on confirm_1'!$AD$12:$AD$51</definedName>
    <definedName name="L_11" localSheetId="3">ORDER!$AL$14:$AL$51</definedName>
    <definedName name="L_11">'fixation on confirm_1'!$AE$12:$AE$51</definedName>
    <definedName name="L_12" localSheetId="3">ORDER!$AM$14:$AM$51</definedName>
    <definedName name="L_12">'fixation on confirm_1'!$AF$12:$AF$51</definedName>
    <definedName name="L_13" localSheetId="3">ORDER!$AN$14:$AN$51</definedName>
    <definedName name="L_13">'fixation on confirm_1'!$AG$12:$AG$51</definedName>
    <definedName name="L_14" localSheetId="3">ORDER!$AO$14:$AO$51</definedName>
    <definedName name="L_14">'fixation on confirm_1'!$AH$12:$AH$51</definedName>
    <definedName name="L_15" localSheetId="3">ORDER!$AP$14:$AP$51</definedName>
    <definedName name="L_15">'fixation on confirm_1'!$AI$12:$AI$51</definedName>
    <definedName name="L_16" localSheetId="3">ORDER!$AQ$14:$AQ$48</definedName>
    <definedName name="L_16">'fixation on confirm_1'!$AJ$12:$AJ$46</definedName>
    <definedName name="L_17" localSheetId="3">ORDER!$AR$14:$AR$47</definedName>
    <definedName name="L_17">'fixation on confirm_1'!$AK$12:$AK$45</definedName>
    <definedName name="L_18" localSheetId="3">ORDER!$AS$14:$AS$45</definedName>
    <definedName name="L_18">'fixation on confirm_1'!$AL$12:$AL$43</definedName>
    <definedName name="L_19" localSheetId="3">ORDER!$AT$14:$AT$43</definedName>
    <definedName name="L_19">'fixation on confirm_1'!$AM$12:$AM$41</definedName>
    <definedName name="L_2" localSheetId="3">ORDER!$AC$14:$AC$51</definedName>
    <definedName name="L_2">'fixation on confirm_1'!$V$12:$V$49</definedName>
    <definedName name="L_20" localSheetId="3">ORDER!$AU$14:$AU$40</definedName>
    <definedName name="L_20">'fixation on confirm_1'!$AN$12:$AN$38</definedName>
    <definedName name="L_21" localSheetId="3">ORDER!$AV$14:$AV$29</definedName>
    <definedName name="L_21">'fixation on confirm_1'!$AO$12:$AO$27</definedName>
    <definedName name="L_22" localSheetId="3">ORDER!$AW$14:$AW$28</definedName>
    <definedName name="L_22">'fixation on confirm_1'!$AP$12:$AP$26</definedName>
    <definedName name="L_23" localSheetId="3">ORDER!$AX$14:$AX$25</definedName>
    <definedName name="L_23">'fixation on confirm_1'!$AQ$12:$AQ$23</definedName>
    <definedName name="L_24" localSheetId="3">ORDER!$AY$14:$AY$25</definedName>
    <definedName name="L_24">'fixation on confirm_1'!$AR$12:$AR$23</definedName>
    <definedName name="L_3" localSheetId="3">ORDER!$AD$14:$AD$51</definedName>
    <definedName name="L_3">'fixation on confirm_1'!$W$12:$W$49</definedName>
    <definedName name="L_4" localSheetId="3">ORDER!$AE$14:$AE$51</definedName>
    <definedName name="L_4">'fixation on confirm_1'!$X$12:$X$49</definedName>
    <definedName name="L_5" localSheetId="3">ORDER!$AF$14:$AF$51</definedName>
    <definedName name="L_5">'fixation on confirm_1'!$Y$12:$Y$49</definedName>
    <definedName name="L_6" localSheetId="3">ORDER!$AG$14:$AG$51</definedName>
    <definedName name="L_6">'fixation on confirm_1'!$Z$12:$Z$49</definedName>
    <definedName name="L_7" localSheetId="3">ORDER!$AH$14:$AH$51</definedName>
    <definedName name="L_7">'fixation on confirm_1'!$AA$12:$AA$49</definedName>
    <definedName name="L_8" localSheetId="3">ORDER!$AI$14:$AI$51</definedName>
    <definedName name="L_8">'fixation on confirm_1'!$AB$12:$AB$49</definedName>
    <definedName name="L_9" localSheetId="3">ORDER!$AJ$14:$AJ$51</definedName>
    <definedName name="L_9">'fixation on confirm_1'!$AC$12:$AC$49</definedName>
    <definedName name="LP_1">ORDER!$AB$58:$AY$59</definedName>
    <definedName name="LP_2">ORDER!$AC$59</definedName>
    <definedName name="Months">'[1]Arrear Sheet'!$AX$5:$AX$16</definedName>
    <definedName name="PAY_लेवाल">ORDER!$AB$13:$AY$13</definedName>
    <definedName name="Payband">'7th pay chart'!$B$58:$Y$60</definedName>
    <definedName name="_xlnm.Print_Area" localSheetId="5">ARREAR!$B$2:$AI$98</definedName>
    <definedName name="_xlnm.Print_Area" localSheetId="3">ORDER!$B$2:$O$29</definedName>
    <definedName name="_xlnm.Print_Titles" localSheetId="5">ARREAR!$6:$8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93" i="8" l="1"/>
  <c r="AI93" i="8"/>
  <c r="V93" i="8"/>
  <c r="W93" i="8"/>
  <c r="Y93" i="8"/>
  <c r="Z93" i="8"/>
  <c r="AB93" i="8"/>
  <c r="AC93" i="8"/>
  <c r="AD93" i="8"/>
  <c r="AE93" i="8"/>
  <c r="S93" i="8"/>
  <c r="T93" i="8"/>
  <c r="P93" i="8"/>
  <c r="Q93" i="8"/>
  <c r="R69" i="8"/>
  <c r="U69" i="8"/>
  <c r="AF69" i="8" s="1"/>
  <c r="X69" i="8"/>
  <c r="AA69" i="8"/>
  <c r="R70" i="8"/>
  <c r="U70" i="8"/>
  <c r="AF70" i="8" s="1"/>
  <c r="X70" i="8"/>
  <c r="AA70" i="8"/>
  <c r="R71" i="8"/>
  <c r="U71" i="8"/>
  <c r="X71" i="8"/>
  <c r="AA71" i="8"/>
  <c r="AF71" i="8" s="1"/>
  <c r="R72" i="8"/>
  <c r="U72" i="8"/>
  <c r="X72" i="8"/>
  <c r="AF72" i="8" s="1"/>
  <c r="AA72" i="8"/>
  <c r="R73" i="8"/>
  <c r="U73" i="8"/>
  <c r="AF73" i="8" s="1"/>
  <c r="X73" i="8"/>
  <c r="AA73" i="8"/>
  <c r="R74" i="8"/>
  <c r="U74" i="8"/>
  <c r="X74" i="8"/>
  <c r="AA74" i="8"/>
  <c r="AF74" i="8"/>
  <c r="R75" i="8"/>
  <c r="U75" i="8"/>
  <c r="X75" i="8"/>
  <c r="AA75" i="8"/>
  <c r="AF75" i="8" s="1"/>
  <c r="R76" i="8"/>
  <c r="U76" i="8"/>
  <c r="AF76" i="8" s="1"/>
  <c r="X76" i="8"/>
  <c r="AA76" i="8"/>
  <c r="R77" i="8"/>
  <c r="U77" i="8"/>
  <c r="AF77" i="8" s="1"/>
  <c r="X77" i="8"/>
  <c r="AA77" i="8"/>
  <c r="R78" i="8"/>
  <c r="U78" i="8"/>
  <c r="X78" i="8"/>
  <c r="AA78" i="8"/>
  <c r="AF78" i="8"/>
  <c r="R79" i="8"/>
  <c r="U79" i="8"/>
  <c r="X79" i="8"/>
  <c r="AA79" i="8"/>
  <c r="AF79" i="8" s="1"/>
  <c r="R80" i="8"/>
  <c r="U80" i="8"/>
  <c r="AF80" i="8" s="1"/>
  <c r="X80" i="8"/>
  <c r="AA80" i="8"/>
  <c r="R81" i="8"/>
  <c r="U81" i="8"/>
  <c r="X81" i="8"/>
  <c r="AA81" i="8"/>
  <c r="R82" i="8"/>
  <c r="U82" i="8"/>
  <c r="X82" i="8"/>
  <c r="AA82" i="8"/>
  <c r="R83" i="8"/>
  <c r="U83" i="8"/>
  <c r="X83" i="8"/>
  <c r="AA83" i="8"/>
  <c r="R84" i="8"/>
  <c r="U84" i="8"/>
  <c r="X84" i="8"/>
  <c r="AA84" i="8"/>
  <c r="R85" i="8"/>
  <c r="U85" i="8"/>
  <c r="X85" i="8"/>
  <c r="AA85" i="8"/>
  <c r="R86" i="8"/>
  <c r="U86" i="8"/>
  <c r="AF86" i="8" s="1"/>
  <c r="X86" i="8"/>
  <c r="AA86" i="8"/>
  <c r="R87" i="8"/>
  <c r="U87" i="8"/>
  <c r="X87" i="8"/>
  <c r="AA87" i="8"/>
  <c r="R88" i="8"/>
  <c r="U88" i="8"/>
  <c r="X88" i="8"/>
  <c r="AA88" i="8"/>
  <c r="R89" i="8"/>
  <c r="U89" i="8"/>
  <c r="AF89" i="8" s="1"/>
  <c r="X89" i="8"/>
  <c r="AA89" i="8"/>
  <c r="R90" i="8"/>
  <c r="U90" i="8"/>
  <c r="AF90" i="8" s="1"/>
  <c r="X90" i="8"/>
  <c r="AA90" i="8"/>
  <c r="R91" i="8"/>
  <c r="U91" i="8"/>
  <c r="AF91" i="8" s="1"/>
  <c r="X91" i="8"/>
  <c r="AA91" i="8"/>
  <c r="R92" i="8"/>
  <c r="U92" i="8"/>
  <c r="X92" i="8"/>
  <c r="AA92" i="8"/>
  <c r="AF92" i="8" l="1"/>
  <c r="AF88" i="8"/>
  <c r="AF87" i="8"/>
  <c r="X93" i="8"/>
  <c r="AF83" i="8"/>
  <c r="AF82" i="8"/>
  <c r="R93" i="8"/>
  <c r="AA93" i="8"/>
  <c r="AF81" i="8"/>
  <c r="U93" i="8"/>
  <c r="AF84" i="8"/>
  <c r="AF85" i="8"/>
  <c r="AF93" i="8" l="1"/>
  <c r="Y7" i="7"/>
  <c r="U57" i="8"/>
  <c r="X57" i="8"/>
  <c r="AA57" i="8"/>
  <c r="AD57" i="8"/>
  <c r="U58" i="8"/>
  <c r="X58" i="8"/>
  <c r="AA58" i="8"/>
  <c r="AD58" i="8"/>
  <c r="U59" i="8"/>
  <c r="X59" i="8"/>
  <c r="AA59" i="8"/>
  <c r="AD59" i="8"/>
  <c r="U60" i="8"/>
  <c r="X60" i="8"/>
  <c r="AA60" i="8"/>
  <c r="AD60" i="8"/>
  <c r="U61" i="8"/>
  <c r="X61" i="8"/>
  <c r="AA61" i="8"/>
  <c r="AD61" i="8"/>
  <c r="U62" i="8"/>
  <c r="X62" i="8"/>
  <c r="AA62" i="8"/>
  <c r="AD62" i="8"/>
  <c r="U63" i="8"/>
  <c r="X63" i="8"/>
  <c r="AA63" i="8"/>
  <c r="AD63" i="8"/>
  <c r="U64" i="8"/>
  <c r="X64" i="8"/>
  <c r="AA64" i="8"/>
  <c r="AD64" i="8"/>
  <c r="U65" i="8"/>
  <c r="X65" i="8"/>
  <c r="AA65" i="8"/>
  <c r="AD65" i="8"/>
  <c r="U66" i="8"/>
  <c r="X66" i="8"/>
  <c r="AA66" i="8"/>
  <c r="AD66" i="8"/>
  <c r="U67" i="8"/>
  <c r="X67" i="8"/>
  <c r="AA67" i="8"/>
  <c r="AD67" i="8"/>
  <c r="U68" i="8"/>
  <c r="X68" i="8"/>
  <c r="AA68" i="8"/>
  <c r="F2" i="7" l="1"/>
  <c r="I6" i="7"/>
  <c r="C2" i="7" l="1"/>
  <c r="B6" i="5"/>
  <c r="I11" i="5"/>
  <c r="F18" i="5" s="1"/>
  <c r="F19" i="5" s="1"/>
  <c r="AA10" i="8"/>
  <c r="F8" i="5" l="1"/>
  <c r="G8" i="5"/>
  <c r="G15" i="5"/>
  <c r="K13" i="7" s="1"/>
  <c r="F15" i="5"/>
  <c r="I14" i="5"/>
  <c r="H14" i="5"/>
  <c r="F13" i="5"/>
  <c r="P12" i="7"/>
  <c r="O12" i="7"/>
  <c r="G11" i="5"/>
  <c r="G14" i="5"/>
  <c r="F14" i="5"/>
  <c r="C14" i="9"/>
  <c r="F11" i="5"/>
  <c r="J8" i="5"/>
  <c r="H8" i="5"/>
  <c r="F14" i="9" l="1"/>
  <c r="H14" i="9"/>
  <c r="G14" i="9"/>
  <c r="F12" i="9"/>
  <c r="H12" i="9"/>
  <c r="G12" i="9"/>
  <c r="F10" i="9"/>
  <c r="H10" i="9"/>
  <c r="G10" i="9"/>
  <c r="AR14" i="3"/>
  <c r="AQ14" i="3"/>
  <c r="AP14" i="3"/>
  <c r="AO14" i="3"/>
  <c r="AN14" i="3"/>
  <c r="AM14" i="3"/>
  <c r="AL14" i="3"/>
  <c r="AK14" i="3"/>
  <c r="AJ14" i="3"/>
  <c r="AI14" i="3"/>
  <c r="AH14" i="3"/>
  <c r="AG14" i="3"/>
  <c r="AF14" i="3"/>
  <c r="AE14" i="3"/>
  <c r="AD14" i="3"/>
  <c r="AC14" i="3"/>
  <c r="AB14" i="3"/>
  <c r="AA14" i="3"/>
  <c r="Z14" i="3"/>
  <c r="Y14" i="3"/>
  <c r="M6" i="6" l="1"/>
  <c r="C22" i="5" l="1"/>
  <c r="E8" i="6"/>
  <c r="H8" i="6"/>
  <c r="H11" i="5"/>
  <c r="B3" i="8" l="1"/>
  <c r="AD98" i="8"/>
  <c r="AD97" i="8"/>
  <c r="AD96" i="8"/>
  <c r="B2" i="6"/>
  <c r="U45" i="8"/>
  <c r="X45" i="8"/>
  <c r="AA45" i="8"/>
  <c r="AD45" i="8"/>
  <c r="U46" i="8"/>
  <c r="X46" i="8"/>
  <c r="AA46" i="8"/>
  <c r="AD46" i="8"/>
  <c r="U47" i="8"/>
  <c r="X47" i="8"/>
  <c r="AA47" i="8"/>
  <c r="AD47" i="8"/>
  <c r="U48" i="8"/>
  <c r="X48" i="8"/>
  <c r="AA48" i="8"/>
  <c r="AD48" i="8"/>
  <c r="U49" i="8"/>
  <c r="X49" i="8"/>
  <c r="AA49" i="8"/>
  <c r="AD49" i="8"/>
  <c r="U50" i="8"/>
  <c r="X50" i="8"/>
  <c r="AA50" i="8"/>
  <c r="AD50" i="8"/>
  <c r="U51" i="8"/>
  <c r="X51" i="8"/>
  <c r="AA51" i="8"/>
  <c r="AD51" i="8"/>
  <c r="U52" i="8"/>
  <c r="X52" i="8"/>
  <c r="AA52" i="8"/>
  <c r="AD52" i="8"/>
  <c r="U53" i="8"/>
  <c r="X53" i="8"/>
  <c r="AA53" i="8"/>
  <c r="AD53" i="8"/>
  <c r="U54" i="8"/>
  <c r="X54" i="8"/>
  <c r="AA54" i="8"/>
  <c r="AD54" i="8"/>
  <c r="U55" i="8"/>
  <c r="X55" i="8"/>
  <c r="AA55" i="8"/>
  <c r="AD55" i="8"/>
  <c r="U56" i="8"/>
  <c r="X56" i="8"/>
  <c r="AA56" i="8"/>
  <c r="AD56" i="8"/>
  <c r="U44" i="8"/>
  <c r="X44" i="8"/>
  <c r="AA44" i="8"/>
  <c r="AD44" i="8"/>
  <c r="AF4" i="8"/>
  <c r="B7" i="5" l="1"/>
  <c r="L8" i="5"/>
  <c r="B5" i="5"/>
  <c r="J12" i="6" l="1"/>
  <c r="E6" i="6" l="1"/>
  <c r="E4" i="6"/>
  <c r="E11" i="5"/>
  <c r="B2" i="5"/>
  <c r="B2" i="8" s="1"/>
  <c r="D11" i="5" l="1"/>
  <c r="C11" i="5"/>
  <c r="BB6" i="5"/>
  <c r="BD6" i="5" s="1"/>
  <c r="BB11" i="5"/>
  <c r="BB12" i="5"/>
  <c r="BB13" i="5"/>
  <c r="BB14" i="5"/>
  <c r="BB15" i="5"/>
  <c r="U33" i="8"/>
  <c r="X33" i="8"/>
  <c r="AA33" i="8"/>
  <c r="AD33" i="8"/>
  <c r="U34" i="8"/>
  <c r="X34" i="8"/>
  <c r="AA34" i="8"/>
  <c r="AD34" i="8"/>
  <c r="U35" i="8"/>
  <c r="X35" i="8"/>
  <c r="AA35" i="8"/>
  <c r="AD35" i="8"/>
  <c r="U36" i="8"/>
  <c r="X36" i="8"/>
  <c r="AA36" i="8"/>
  <c r="AD36" i="8"/>
  <c r="U37" i="8"/>
  <c r="X37" i="8"/>
  <c r="AA37" i="8"/>
  <c r="AD37" i="8"/>
  <c r="U38" i="8"/>
  <c r="X38" i="8"/>
  <c r="AA38" i="8"/>
  <c r="AD38" i="8"/>
  <c r="U39" i="8"/>
  <c r="X39" i="8"/>
  <c r="AA39" i="8"/>
  <c r="AD39" i="8"/>
  <c r="U40" i="8"/>
  <c r="X40" i="8"/>
  <c r="AA40" i="8"/>
  <c r="AD40" i="8"/>
  <c r="U41" i="8"/>
  <c r="X41" i="8"/>
  <c r="AA41" i="8"/>
  <c r="AD41" i="8"/>
  <c r="U42" i="8"/>
  <c r="X42" i="8"/>
  <c r="AA42" i="8"/>
  <c r="AD42" i="8"/>
  <c r="U43" i="8"/>
  <c r="X43" i="8"/>
  <c r="AA43" i="8"/>
  <c r="AD43" i="8"/>
  <c r="F9" i="7"/>
  <c r="M4" i="8"/>
  <c r="E4" i="8"/>
  <c r="E4" i="7"/>
  <c r="C4" i="7"/>
  <c r="H4" i="7" s="1"/>
  <c r="AD32" i="8"/>
  <c r="AA32" i="8"/>
  <c r="X32" i="8"/>
  <c r="U32" i="8"/>
  <c r="AD31" i="8"/>
  <c r="AA31" i="8"/>
  <c r="X31" i="8"/>
  <c r="U31" i="8"/>
  <c r="AD30" i="8"/>
  <c r="AA30" i="8"/>
  <c r="X30" i="8"/>
  <c r="U30" i="8"/>
  <c r="AD29" i="8"/>
  <c r="AA29" i="8"/>
  <c r="X29" i="8"/>
  <c r="U29" i="8"/>
  <c r="AD28" i="8"/>
  <c r="AA28" i="8"/>
  <c r="X28" i="8"/>
  <c r="U28" i="8"/>
  <c r="AD27" i="8"/>
  <c r="AA27" i="8"/>
  <c r="X27" i="8"/>
  <c r="U27" i="8"/>
  <c r="AD26" i="8"/>
  <c r="AA26" i="8"/>
  <c r="X26" i="8"/>
  <c r="U26" i="8"/>
  <c r="AD25" i="8"/>
  <c r="AA25" i="8"/>
  <c r="X25" i="8"/>
  <c r="U25" i="8"/>
  <c r="AD24" i="8"/>
  <c r="AA24" i="8"/>
  <c r="X24" i="8"/>
  <c r="U24" i="8"/>
  <c r="AD23" i="8"/>
  <c r="AA23" i="8"/>
  <c r="X23" i="8"/>
  <c r="U23" i="8"/>
  <c r="AD22" i="8"/>
  <c r="AA22" i="8"/>
  <c r="X22" i="8"/>
  <c r="U22" i="8"/>
  <c r="AA21" i="8"/>
  <c r="X21" i="8"/>
  <c r="U21" i="8"/>
  <c r="AA20" i="8"/>
  <c r="X20" i="8"/>
  <c r="U20" i="8"/>
  <c r="AA19" i="8"/>
  <c r="X19" i="8"/>
  <c r="U19" i="8"/>
  <c r="AA18" i="8"/>
  <c r="X18" i="8"/>
  <c r="U18" i="8"/>
  <c r="AA17" i="8"/>
  <c r="X17" i="8"/>
  <c r="U17" i="8"/>
  <c r="AA16" i="8"/>
  <c r="X16" i="8"/>
  <c r="U16" i="8"/>
  <c r="AA15" i="8"/>
  <c r="X15" i="8"/>
  <c r="U15" i="8"/>
  <c r="AA14" i="8"/>
  <c r="X14" i="8"/>
  <c r="U14" i="8"/>
  <c r="AA13" i="8"/>
  <c r="X13" i="8"/>
  <c r="U13" i="8"/>
  <c r="AA12" i="8"/>
  <c r="X12" i="8"/>
  <c r="U12" i="8"/>
  <c r="AA11" i="8"/>
  <c r="X11" i="8"/>
  <c r="U11" i="8"/>
  <c r="X10" i="8"/>
  <c r="U10" i="8"/>
  <c r="AA9" i="8"/>
  <c r="X9" i="8"/>
  <c r="U9" i="8"/>
  <c r="M8" i="6"/>
  <c r="C5" i="7" l="1"/>
  <c r="C6" i="7" s="1"/>
  <c r="B9" i="7"/>
  <c r="C9" i="7" s="1"/>
  <c r="AL16" i="5"/>
  <c r="AM16" i="5"/>
  <c r="AN16" i="5"/>
  <c r="AO16" i="5"/>
  <c r="AP16" i="5"/>
  <c r="AQ16" i="5"/>
  <c r="AR16" i="5"/>
  <c r="AS16" i="5"/>
  <c r="AT16" i="5"/>
  <c r="AU16" i="5"/>
  <c r="AV16" i="5"/>
  <c r="AW16" i="5"/>
  <c r="AX16" i="5"/>
  <c r="AY16" i="5"/>
  <c r="AI16" i="5"/>
  <c r="AJ16" i="5"/>
  <c r="AK16" i="5"/>
  <c r="AG16" i="5"/>
  <c r="AH16" i="5"/>
  <c r="AF16" i="5"/>
  <c r="G6" i="7" l="1"/>
  <c r="C12" i="6"/>
  <c r="C9" i="8"/>
  <c r="A9" i="7"/>
  <c r="B10" i="7"/>
  <c r="C10" i="7" s="1"/>
  <c r="K29" i="5"/>
  <c r="K28" i="5"/>
  <c r="K27" i="5"/>
  <c r="K20" i="5"/>
  <c r="K19" i="5"/>
  <c r="K18" i="5"/>
  <c r="BE15" i="5"/>
  <c r="BE14" i="5"/>
  <c r="BE13" i="5"/>
  <c r="BE12" i="5"/>
  <c r="B12" i="5"/>
  <c r="BE11" i="5"/>
  <c r="K11" i="5"/>
  <c r="J11" i="5"/>
  <c r="B11" i="5"/>
  <c r="BE10" i="5"/>
  <c r="BE9" i="5"/>
  <c r="BE8" i="5"/>
  <c r="BB8" i="5"/>
  <c r="N11" i="5" s="1"/>
  <c r="K11" i="3"/>
  <c r="K12" i="3"/>
  <c r="K13" i="3"/>
  <c r="A11" i="3"/>
  <c r="A12" i="3"/>
  <c r="A13" i="3"/>
  <c r="A10" i="3"/>
  <c r="AD9" i="8" l="1"/>
  <c r="J12" i="5"/>
  <c r="J13" i="5" s="1"/>
  <c r="N12" i="7"/>
  <c r="Q12" i="7" s="1"/>
  <c r="O11" i="5"/>
  <c r="B9" i="8"/>
  <c r="B12" i="6"/>
  <c r="I12" i="6"/>
  <c r="G9" i="7" s="1"/>
  <c r="H9" i="8" s="1"/>
  <c r="C13" i="6"/>
  <c r="C10" i="8"/>
  <c r="AD10" i="8" s="1"/>
  <c r="B11" i="7"/>
  <c r="B12" i="7" s="1"/>
  <c r="A10" i="7"/>
  <c r="B13" i="5"/>
  <c r="G10" i="3"/>
  <c r="G11" i="3"/>
  <c r="G12" i="3"/>
  <c r="G13" i="3"/>
  <c r="G9" i="3"/>
  <c r="J10" i="3"/>
  <c r="J11" i="3"/>
  <c r="J12" i="3"/>
  <c r="J13" i="3"/>
  <c r="AU7" i="3"/>
  <c r="K10" i="3" s="1"/>
  <c r="AX7" i="3"/>
  <c r="AU8" i="3"/>
  <c r="AX8" i="3"/>
  <c r="AU9" i="3"/>
  <c r="AX9" i="3"/>
  <c r="AU10" i="3"/>
  <c r="AX10" i="3"/>
  <c r="AU11" i="3"/>
  <c r="AX11" i="3"/>
  <c r="AU12" i="3"/>
  <c r="AX12" i="3"/>
  <c r="AU13" i="3"/>
  <c r="AX13" i="3"/>
  <c r="H13" i="3"/>
  <c r="A9" i="3"/>
  <c r="AX6" i="3"/>
  <c r="AU6" i="3"/>
  <c r="K9" i="3" s="1"/>
  <c r="H10" i="3"/>
  <c r="H11" i="3"/>
  <c r="H12" i="3"/>
  <c r="H9" i="3"/>
  <c r="J9" i="3"/>
  <c r="A1" i="3"/>
  <c r="L12" i="5" l="1"/>
  <c r="L13" i="5" s="1"/>
  <c r="M12" i="5"/>
  <c r="J14" i="5"/>
  <c r="J15" i="5" s="1"/>
  <c r="J16" i="5" s="1"/>
  <c r="O16" i="5" s="1"/>
  <c r="O12" i="5"/>
  <c r="N13" i="7"/>
  <c r="Q13" i="7" s="1"/>
  <c r="BB9" i="5"/>
  <c r="I13" i="6"/>
  <c r="C11" i="7"/>
  <c r="C11" i="8" s="1"/>
  <c r="AD11" i="8" s="1"/>
  <c r="B10" i="8"/>
  <c r="B13" i="6"/>
  <c r="A11" i="7"/>
  <c r="A12" i="7" s="1"/>
  <c r="B13" i="7"/>
  <c r="C12" i="7"/>
  <c r="B15" i="5"/>
  <c r="B14" i="5"/>
  <c r="H27" i="3"/>
  <c r="H26" i="3"/>
  <c r="H25" i="3"/>
  <c r="H17" i="3"/>
  <c r="H16" i="3"/>
  <c r="H15" i="3"/>
  <c r="L14" i="5" l="1"/>
  <c r="O13" i="5"/>
  <c r="M13" i="5"/>
  <c r="N14" i="7"/>
  <c r="Q14" i="7" s="1"/>
  <c r="P13" i="7"/>
  <c r="O13" i="7"/>
  <c r="K12" i="5"/>
  <c r="I9" i="8"/>
  <c r="J9" i="8"/>
  <c r="J13" i="6"/>
  <c r="G10" i="7" s="1"/>
  <c r="H10" i="8" s="1"/>
  <c r="BB10" i="5"/>
  <c r="C14" i="6"/>
  <c r="C15" i="6"/>
  <c r="C12" i="8"/>
  <c r="AD12" i="8" s="1"/>
  <c r="B11" i="8"/>
  <c r="B14" i="6"/>
  <c r="B12" i="8"/>
  <c r="B15" i="6"/>
  <c r="B14" i="7"/>
  <c r="A13" i="7"/>
  <c r="C13" i="7"/>
  <c r="L15" i="5" l="1"/>
  <c r="L16" i="5" s="1"/>
  <c r="K16" i="5" s="1"/>
  <c r="O14" i="5"/>
  <c r="M14" i="5"/>
  <c r="N15" i="7"/>
  <c r="Q15" i="7" s="1"/>
  <c r="P14" i="7"/>
  <c r="O14" i="7"/>
  <c r="K13" i="5"/>
  <c r="I10" i="8"/>
  <c r="F10" i="7"/>
  <c r="I15" i="6"/>
  <c r="I14" i="6"/>
  <c r="C16" i="6"/>
  <c r="C13" i="8"/>
  <c r="AD13" i="8" s="1"/>
  <c r="B13" i="8"/>
  <c r="B16" i="6"/>
  <c r="K9" i="8"/>
  <c r="C14" i="7"/>
  <c r="A14" i="7"/>
  <c r="B15" i="7"/>
  <c r="O15" i="5" l="1"/>
  <c r="M15" i="5"/>
  <c r="M16" i="5" s="1"/>
  <c r="N16" i="7"/>
  <c r="Q16" i="7" s="1"/>
  <c r="O15" i="7"/>
  <c r="P15" i="7"/>
  <c r="K14" i="5"/>
  <c r="J10" i="8"/>
  <c r="J14" i="6"/>
  <c r="G11" i="7" s="1"/>
  <c r="H11" i="8" s="1"/>
  <c r="I16" i="6"/>
  <c r="B14" i="8"/>
  <c r="B17" i="6"/>
  <c r="C17" i="6"/>
  <c r="C14" i="8"/>
  <c r="AD14" i="8" s="1"/>
  <c r="C15" i="7"/>
  <c r="B16" i="7"/>
  <c r="A15" i="7"/>
  <c r="P16" i="7" l="1"/>
  <c r="L17" i="7" s="1"/>
  <c r="O16" i="7"/>
  <c r="K17" i="7" s="1"/>
  <c r="H15" i="5" s="1"/>
  <c r="K15" i="5"/>
  <c r="F11" i="7"/>
  <c r="K10" i="8"/>
  <c r="J15" i="6"/>
  <c r="G12" i="7" s="1"/>
  <c r="H12" i="8" s="1"/>
  <c r="B15" i="8"/>
  <c r="B18" i="6"/>
  <c r="C18" i="6"/>
  <c r="C15" i="8"/>
  <c r="AD15" i="8" s="1"/>
  <c r="I17" i="6"/>
  <c r="B17" i="7"/>
  <c r="A16" i="7"/>
  <c r="C16" i="7"/>
  <c r="I15" i="5" l="1"/>
  <c r="D12" i="6" s="1"/>
  <c r="I12" i="8"/>
  <c r="F12" i="7"/>
  <c r="J11" i="8"/>
  <c r="I11" i="8"/>
  <c r="J16" i="6"/>
  <c r="G13" i="7" s="1"/>
  <c r="H13" i="8" s="1"/>
  <c r="J12" i="8"/>
  <c r="I18" i="6"/>
  <c r="B16" i="8"/>
  <c r="B19" i="6"/>
  <c r="C19" i="6"/>
  <c r="C16" i="8"/>
  <c r="AD16" i="8" s="1"/>
  <c r="B18" i="7"/>
  <c r="A17" i="7"/>
  <c r="C17" i="7"/>
  <c r="E9" i="7" l="1"/>
  <c r="D9" i="7"/>
  <c r="E6" i="7" s="1"/>
  <c r="D13" i="6"/>
  <c r="D10" i="7" s="1"/>
  <c r="K11" i="8"/>
  <c r="J17" i="6"/>
  <c r="G14" i="7" s="1"/>
  <c r="H14" i="8" s="1"/>
  <c r="F13" i="7"/>
  <c r="K12" i="8"/>
  <c r="I19" i="6"/>
  <c r="C20" i="6"/>
  <c r="C17" i="8"/>
  <c r="AD17" i="8" s="1"/>
  <c r="B17" i="8"/>
  <c r="B20" i="6"/>
  <c r="C18" i="7"/>
  <c r="B19" i="7"/>
  <c r="A18" i="7"/>
  <c r="D9" i="8" l="1"/>
  <c r="D14" i="6"/>
  <c r="D11" i="7" s="1"/>
  <c r="E10" i="7"/>
  <c r="J18" i="6"/>
  <c r="G15" i="7" s="1"/>
  <c r="H15" i="8" s="1"/>
  <c r="J15" i="8" s="1"/>
  <c r="F14" i="7"/>
  <c r="I13" i="8"/>
  <c r="J13" i="8"/>
  <c r="I20" i="6"/>
  <c r="B18" i="8"/>
  <c r="B21" i="6"/>
  <c r="C21" i="6"/>
  <c r="C18" i="8"/>
  <c r="AD18" i="8" s="1"/>
  <c r="C19" i="7"/>
  <c r="B20" i="7"/>
  <c r="A19" i="7"/>
  <c r="E9" i="8" l="1"/>
  <c r="D10" i="8"/>
  <c r="F9" i="8"/>
  <c r="L9" i="8"/>
  <c r="R9" i="8"/>
  <c r="AF9" i="8" s="1"/>
  <c r="A9" i="8"/>
  <c r="E11" i="7"/>
  <c r="D15" i="6"/>
  <c r="D12" i="7" s="1"/>
  <c r="J19" i="6"/>
  <c r="G16" i="7" s="1"/>
  <c r="H16" i="8" s="1"/>
  <c r="F15" i="7"/>
  <c r="I14" i="8"/>
  <c r="J14" i="8"/>
  <c r="I15" i="8"/>
  <c r="K13" i="8"/>
  <c r="I21" i="6"/>
  <c r="B19" i="8"/>
  <c r="B22" i="6"/>
  <c r="C22" i="6"/>
  <c r="C19" i="8"/>
  <c r="AD19" i="8" s="1"/>
  <c r="B21" i="7"/>
  <c r="A20" i="7"/>
  <c r="C20" i="7"/>
  <c r="N9" i="8" l="1"/>
  <c r="M9" i="8"/>
  <c r="L10" i="8"/>
  <c r="D11" i="8"/>
  <c r="L11" i="8" s="1"/>
  <c r="G9" i="8"/>
  <c r="A10" i="8"/>
  <c r="E10" i="8"/>
  <c r="F10" i="8"/>
  <c r="E12" i="7"/>
  <c r="D16" i="6"/>
  <c r="D13" i="7" s="1"/>
  <c r="F16" i="7"/>
  <c r="J20" i="6"/>
  <c r="G17" i="7" s="1"/>
  <c r="H17" i="8" s="1"/>
  <c r="I17" i="8" s="1"/>
  <c r="K15" i="8"/>
  <c r="I16" i="8"/>
  <c r="K14" i="8"/>
  <c r="J16" i="8"/>
  <c r="I22" i="6"/>
  <c r="C23" i="6"/>
  <c r="C20" i="8"/>
  <c r="AD20" i="8" s="1"/>
  <c r="B20" i="8"/>
  <c r="B23" i="6"/>
  <c r="B22" i="7"/>
  <c r="A21" i="7"/>
  <c r="C21" i="7"/>
  <c r="O9" i="8" l="1"/>
  <c r="N10" i="8"/>
  <c r="M10" i="8"/>
  <c r="E11" i="8"/>
  <c r="M11" i="8" s="1"/>
  <c r="F11" i="8"/>
  <c r="N11" i="8" s="1"/>
  <c r="A11" i="8"/>
  <c r="G10" i="8"/>
  <c r="D12" i="8"/>
  <c r="E13" i="7"/>
  <c r="D17" i="6"/>
  <c r="D18" i="6" s="1"/>
  <c r="E15" i="7" s="1"/>
  <c r="D15" i="8" s="1"/>
  <c r="A15" i="8" s="1"/>
  <c r="J21" i="6"/>
  <c r="G18" i="7" s="1"/>
  <c r="H18" i="8" s="1"/>
  <c r="F17" i="7"/>
  <c r="K16" i="8"/>
  <c r="J17" i="8"/>
  <c r="I23" i="6"/>
  <c r="B21" i="8"/>
  <c r="B24" i="6"/>
  <c r="C24" i="6"/>
  <c r="C21" i="8"/>
  <c r="C22" i="7"/>
  <c r="B23" i="7"/>
  <c r="A22" i="7"/>
  <c r="AG9" i="8" l="1"/>
  <c r="F12" i="8"/>
  <c r="O10" i="8"/>
  <c r="R10" i="8"/>
  <c r="G11" i="8"/>
  <c r="R11" i="8"/>
  <c r="AF11" i="8" s="1"/>
  <c r="O11" i="8"/>
  <c r="D13" i="8"/>
  <c r="L13" i="8" s="1"/>
  <c r="L12" i="8"/>
  <c r="A12" i="8"/>
  <c r="E12" i="8"/>
  <c r="AD21" i="8"/>
  <c r="D15" i="7"/>
  <c r="D19" i="6"/>
  <c r="D20" i="6" s="1"/>
  <c r="E14" i="7"/>
  <c r="D14" i="7"/>
  <c r="F15" i="8"/>
  <c r="N15" i="8" s="1"/>
  <c r="L15" i="8"/>
  <c r="E15" i="8"/>
  <c r="M15" i="8" s="1"/>
  <c r="J22" i="6"/>
  <c r="G19" i="7" s="1"/>
  <c r="H19" i="8" s="1"/>
  <c r="I19" i="8" s="1"/>
  <c r="F18" i="7"/>
  <c r="K17" i="8"/>
  <c r="I18" i="8"/>
  <c r="J18" i="8"/>
  <c r="I24" i="6"/>
  <c r="C25" i="6"/>
  <c r="C22" i="8"/>
  <c r="B22" i="8"/>
  <c r="B25" i="6"/>
  <c r="C23" i="7"/>
  <c r="B24" i="7"/>
  <c r="A23" i="7"/>
  <c r="M12" i="8" l="1"/>
  <c r="N12" i="8"/>
  <c r="AF10" i="8"/>
  <c r="AG10" i="8" s="1"/>
  <c r="AG11" i="8"/>
  <c r="A13" i="8"/>
  <c r="F13" i="8"/>
  <c r="R12" i="8"/>
  <c r="AF12" i="8" s="1"/>
  <c r="G12" i="8"/>
  <c r="D14" i="8"/>
  <c r="E13" i="8"/>
  <c r="E16" i="7"/>
  <c r="D16" i="8" s="1"/>
  <c r="A16" i="8" s="1"/>
  <c r="D16" i="7"/>
  <c r="O15" i="8"/>
  <c r="R15" i="8"/>
  <c r="AF15" i="8" s="1"/>
  <c r="E17" i="7"/>
  <c r="D17" i="8" s="1"/>
  <c r="A17" i="8" s="1"/>
  <c r="D21" i="6"/>
  <c r="D17" i="7"/>
  <c r="G15" i="8"/>
  <c r="F19" i="7"/>
  <c r="J23" i="6"/>
  <c r="G20" i="7" s="1"/>
  <c r="H20" i="8" s="1"/>
  <c r="J20" i="8" s="1"/>
  <c r="K18" i="8"/>
  <c r="J19" i="8"/>
  <c r="B23" i="8"/>
  <c r="B26" i="6"/>
  <c r="I25" i="6"/>
  <c r="C26" i="6"/>
  <c r="C23" i="8"/>
  <c r="B25" i="7"/>
  <c r="A24" i="7"/>
  <c r="C24" i="7"/>
  <c r="O12" i="8" l="1"/>
  <c r="AG12" i="8" s="1"/>
  <c r="F14" i="8"/>
  <c r="R13" i="8"/>
  <c r="N13" i="8"/>
  <c r="E14" i="8"/>
  <c r="M14" i="8" s="1"/>
  <c r="L14" i="8"/>
  <c r="G13" i="8"/>
  <c r="M13" i="8"/>
  <c r="A14" i="8"/>
  <c r="L16" i="8"/>
  <c r="E16" i="8"/>
  <c r="M16" i="8" s="1"/>
  <c r="F16" i="8"/>
  <c r="N16" i="8" s="1"/>
  <c r="AG15" i="8"/>
  <c r="F17" i="8"/>
  <c r="N17" i="8" s="1"/>
  <c r="E17" i="8"/>
  <c r="R17" i="8" s="1"/>
  <c r="AF17" i="8" s="1"/>
  <c r="L17" i="8"/>
  <c r="E18" i="7"/>
  <c r="D18" i="8" s="1"/>
  <c r="A18" i="8" s="1"/>
  <c r="D22" i="6"/>
  <c r="D18" i="7"/>
  <c r="F20" i="7"/>
  <c r="J24" i="6"/>
  <c r="G21" i="7" s="1"/>
  <c r="H21" i="8" s="1"/>
  <c r="I21" i="8" s="1"/>
  <c r="K19" i="8"/>
  <c r="I20" i="8"/>
  <c r="I26" i="6"/>
  <c r="C27" i="6"/>
  <c r="C24" i="8"/>
  <c r="B24" i="8"/>
  <c r="B27" i="6"/>
  <c r="B26" i="7"/>
  <c r="A25" i="7"/>
  <c r="C25" i="7"/>
  <c r="N14" i="8" l="1"/>
  <c r="O14" i="8" s="1"/>
  <c r="R14" i="8"/>
  <c r="AF14" i="8" s="1"/>
  <c r="AF13" i="8"/>
  <c r="O13" i="8"/>
  <c r="G14" i="8"/>
  <c r="R16" i="8"/>
  <c r="AF16" i="8" s="1"/>
  <c r="G16" i="8"/>
  <c r="O16" i="8"/>
  <c r="J25" i="6"/>
  <c r="F22" i="7" s="1"/>
  <c r="F21" i="7"/>
  <c r="D19" i="7"/>
  <c r="E19" i="7"/>
  <c r="D19" i="8" s="1"/>
  <c r="A19" i="8" s="1"/>
  <c r="D23" i="6"/>
  <c r="G17" i="8"/>
  <c r="M17" i="8"/>
  <c r="O17" i="8" s="1"/>
  <c r="AG17" i="8" s="1"/>
  <c r="E18" i="8"/>
  <c r="F18" i="8"/>
  <c r="L18" i="8"/>
  <c r="K20" i="8"/>
  <c r="J21" i="8"/>
  <c r="I27" i="6"/>
  <c r="C28" i="6"/>
  <c r="C25" i="8"/>
  <c r="B25" i="8"/>
  <c r="B28" i="6"/>
  <c r="C26" i="7"/>
  <c r="B27" i="7"/>
  <c r="A26" i="7"/>
  <c r="AG14" i="8" l="1"/>
  <c r="AG13" i="8"/>
  <c r="AG16" i="8"/>
  <c r="J26" i="6"/>
  <c r="G23" i="7" s="1"/>
  <c r="H23" i="8" s="1"/>
  <c r="I23" i="8" s="1"/>
  <c r="G22" i="7"/>
  <c r="H22" i="8" s="1"/>
  <c r="I22" i="8" s="1"/>
  <c r="E20" i="7"/>
  <c r="D20" i="8" s="1"/>
  <c r="A20" i="8" s="1"/>
  <c r="D20" i="7"/>
  <c r="D24" i="6"/>
  <c r="F19" i="8"/>
  <c r="N19" i="8" s="1"/>
  <c r="E19" i="8"/>
  <c r="L19" i="8"/>
  <c r="G18" i="8"/>
  <c r="N18" i="8"/>
  <c r="R18" i="8"/>
  <c r="AF18" i="8" s="1"/>
  <c r="M18" i="8"/>
  <c r="K21" i="8"/>
  <c r="I28" i="6"/>
  <c r="C29" i="6"/>
  <c r="C26" i="8"/>
  <c r="B26" i="8"/>
  <c r="B29" i="6"/>
  <c r="C27" i="7"/>
  <c r="B28" i="7"/>
  <c r="A27" i="7"/>
  <c r="J27" i="6" l="1"/>
  <c r="G24" i="7" s="1"/>
  <c r="H24" i="8" s="1"/>
  <c r="J24" i="8" s="1"/>
  <c r="F23" i="7"/>
  <c r="J22" i="8"/>
  <c r="K22" i="8" s="1"/>
  <c r="O18" i="8"/>
  <c r="AG18" i="8" s="1"/>
  <c r="G19" i="8"/>
  <c r="E21" i="7"/>
  <c r="D21" i="8" s="1"/>
  <c r="A21" i="8" s="1"/>
  <c r="D25" i="6"/>
  <c r="D21" i="7"/>
  <c r="R19" i="8"/>
  <c r="AF19" i="8" s="1"/>
  <c r="M19" i="8"/>
  <c r="O19" i="8" s="1"/>
  <c r="F20" i="8"/>
  <c r="N20" i="8" s="1"/>
  <c r="E20" i="8"/>
  <c r="L20" i="8"/>
  <c r="J23" i="8"/>
  <c r="I29" i="6"/>
  <c r="B27" i="8"/>
  <c r="B30" i="6"/>
  <c r="C30" i="6"/>
  <c r="C27" i="8"/>
  <c r="B29" i="7"/>
  <c r="A28" i="7"/>
  <c r="C28" i="7"/>
  <c r="J28" i="6" l="1"/>
  <c r="G25" i="7" s="1"/>
  <c r="H25" i="8" s="1"/>
  <c r="J25" i="8" s="1"/>
  <c r="F24" i="7"/>
  <c r="I24" i="8"/>
  <c r="G20" i="8"/>
  <c r="E22" i="7"/>
  <c r="D22" i="8" s="1"/>
  <c r="A22" i="8" s="1"/>
  <c r="D26" i="6"/>
  <c r="D27" i="6" s="1"/>
  <c r="D22" i="7"/>
  <c r="F21" i="8"/>
  <c r="N21" i="8" s="1"/>
  <c r="E21" i="8"/>
  <c r="L21" i="8"/>
  <c r="AG19" i="8"/>
  <c r="R20" i="8"/>
  <c r="AF20" i="8" s="1"/>
  <c r="M20" i="8"/>
  <c r="O20" i="8" s="1"/>
  <c r="K23" i="8"/>
  <c r="C31" i="6"/>
  <c r="C28" i="8"/>
  <c r="I30" i="6"/>
  <c r="B28" i="8"/>
  <c r="B31" i="6"/>
  <c r="B30" i="7"/>
  <c r="A29" i="7"/>
  <c r="C29" i="7"/>
  <c r="J29" i="6" l="1"/>
  <c r="G26" i="7" s="1"/>
  <c r="H26" i="8" s="1"/>
  <c r="I25" i="8"/>
  <c r="F25" i="7"/>
  <c r="K24" i="8"/>
  <c r="E24" i="7"/>
  <c r="D24" i="8" s="1"/>
  <c r="A24" i="8" s="1"/>
  <c r="D24" i="7"/>
  <c r="D28" i="6"/>
  <c r="G21" i="8"/>
  <c r="AG20" i="8"/>
  <c r="E23" i="7"/>
  <c r="D23" i="8" s="1"/>
  <c r="A23" i="8" s="1"/>
  <c r="D23" i="7"/>
  <c r="R21" i="8"/>
  <c r="AF21" i="8" s="1"/>
  <c r="M21" i="8"/>
  <c r="O21" i="8" s="1"/>
  <c r="E22" i="8"/>
  <c r="F22" i="8"/>
  <c r="L22" i="8"/>
  <c r="I31" i="6"/>
  <c r="C32" i="6"/>
  <c r="C29" i="8"/>
  <c r="B29" i="8"/>
  <c r="B32" i="6"/>
  <c r="C30" i="7"/>
  <c r="B31" i="7"/>
  <c r="A30" i="7"/>
  <c r="F26" i="7" l="1"/>
  <c r="J30" i="6"/>
  <c r="F27" i="7" s="1"/>
  <c r="K25" i="8"/>
  <c r="E25" i="7"/>
  <c r="D25" i="8" s="1"/>
  <c r="A25" i="8" s="1"/>
  <c r="D29" i="6"/>
  <c r="D25" i="7"/>
  <c r="E24" i="8"/>
  <c r="F24" i="8"/>
  <c r="L24" i="8"/>
  <c r="AG21" i="8"/>
  <c r="R22" i="8"/>
  <c r="AF22" i="8" s="1"/>
  <c r="M22" i="8"/>
  <c r="F23" i="8"/>
  <c r="N23" i="8" s="1"/>
  <c r="E23" i="8"/>
  <c r="L23" i="8"/>
  <c r="G22" i="8"/>
  <c r="N22" i="8"/>
  <c r="J26" i="8"/>
  <c r="I26" i="8"/>
  <c r="I32" i="6"/>
  <c r="C33" i="6"/>
  <c r="C30" i="8"/>
  <c r="B30" i="8"/>
  <c r="B33" i="6"/>
  <c r="C31" i="7"/>
  <c r="B32" i="7"/>
  <c r="B33" i="7" s="1"/>
  <c r="A31" i="7"/>
  <c r="G27" i="7" l="1"/>
  <c r="H27" i="8" s="1"/>
  <c r="I27" i="8" s="1"/>
  <c r="J31" i="6"/>
  <c r="G28" i="7" s="1"/>
  <c r="H28" i="8" s="1"/>
  <c r="J28" i="8" s="1"/>
  <c r="O22" i="8"/>
  <c r="AG22" i="8" s="1"/>
  <c r="R24" i="8"/>
  <c r="AF24" i="8" s="1"/>
  <c r="M24" i="8"/>
  <c r="E26" i="7"/>
  <c r="D26" i="8" s="1"/>
  <c r="A26" i="8" s="1"/>
  <c r="D26" i="7"/>
  <c r="D30" i="6"/>
  <c r="G24" i="8"/>
  <c r="N24" i="8"/>
  <c r="F25" i="8"/>
  <c r="N25" i="8" s="1"/>
  <c r="E25" i="8"/>
  <c r="L25" i="8"/>
  <c r="R23" i="8"/>
  <c r="AF23" i="8" s="1"/>
  <c r="M23" i="8"/>
  <c r="O23" i="8" s="1"/>
  <c r="G23" i="8"/>
  <c r="J27" i="8"/>
  <c r="K26" i="8"/>
  <c r="I33" i="6"/>
  <c r="B34" i="7"/>
  <c r="C33" i="7"/>
  <c r="B31" i="8"/>
  <c r="B34" i="6"/>
  <c r="C34" i="6"/>
  <c r="C31" i="8"/>
  <c r="A32" i="7"/>
  <c r="A33" i="7" s="1"/>
  <c r="B33" i="8" s="1"/>
  <c r="C32" i="7"/>
  <c r="J32" i="6" l="1"/>
  <c r="G29" i="7" s="1"/>
  <c r="H29" i="8" s="1"/>
  <c r="J29" i="8" s="1"/>
  <c r="F28" i="7"/>
  <c r="O24" i="8"/>
  <c r="AG24" i="8" s="1"/>
  <c r="E27" i="7"/>
  <c r="D27" i="8" s="1"/>
  <c r="A27" i="8" s="1"/>
  <c r="D27" i="7"/>
  <c r="D31" i="6"/>
  <c r="R25" i="8"/>
  <c r="AF25" i="8" s="1"/>
  <c r="M25" i="8"/>
  <c r="O25" i="8" s="1"/>
  <c r="G25" i="8"/>
  <c r="F26" i="8"/>
  <c r="N26" i="8" s="1"/>
  <c r="E26" i="8"/>
  <c r="L26" i="8"/>
  <c r="AG23" i="8"/>
  <c r="K27" i="8"/>
  <c r="I28" i="8"/>
  <c r="C36" i="6"/>
  <c r="C33" i="8"/>
  <c r="I34" i="6"/>
  <c r="A34" i="7"/>
  <c r="B36" i="6"/>
  <c r="B35" i="7"/>
  <c r="C34" i="7"/>
  <c r="C35" i="6"/>
  <c r="C32" i="8"/>
  <c r="B32" i="8"/>
  <c r="B35" i="6"/>
  <c r="F29" i="7" l="1"/>
  <c r="J33" i="6"/>
  <c r="G30" i="7" s="1"/>
  <c r="H30" i="8" s="1"/>
  <c r="G26" i="8"/>
  <c r="R26" i="8"/>
  <c r="AF26" i="8" s="1"/>
  <c r="M26" i="8"/>
  <c r="O26" i="8" s="1"/>
  <c r="AG25" i="8"/>
  <c r="E28" i="7"/>
  <c r="D28" i="8" s="1"/>
  <c r="A28" i="8" s="1"/>
  <c r="D32" i="6"/>
  <c r="D28" i="7"/>
  <c r="F27" i="8"/>
  <c r="N27" i="8" s="1"/>
  <c r="E27" i="8"/>
  <c r="R27" i="8" s="1"/>
  <c r="AF27" i="8" s="1"/>
  <c r="L27" i="8"/>
  <c r="I29" i="8"/>
  <c r="K28" i="8"/>
  <c r="I35" i="6"/>
  <c r="C37" i="6"/>
  <c r="C34" i="8"/>
  <c r="B37" i="6"/>
  <c r="B34" i="8"/>
  <c r="I36" i="6"/>
  <c r="B36" i="7"/>
  <c r="A35" i="7"/>
  <c r="C35" i="7"/>
  <c r="J34" i="6" l="1"/>
  <c r="G31" i="7" s="1"/>
  <c r="H31" i="8" s="1"/>
  <c r="F30" i="7"/>
  <c r="AG26" i="8"/>
  <c r="E29" i="7"/>
  <c r="D29" i="8" s="1"/>
  <c r="A29" i="8" s="1"/>
  <c r="D29" i="7"/>
  <c r="D33" i="6"/>
  <c r="G27" i="8"/>
  <c r="M27" i="8"/>
  <c r="O27" i="8" s="1"/>
  <c r="AG27" i="8" s="1"/>
  <c r="E28" i="8"/>
  <c r="F28" i="8"/>
  <c r="L28" i="8"/>
  <c r="K29" i="8"/>
  <c r="J30" i="8"/>
  <c r="I30" i="8"/>
  <c r="J35" i="6"/>
  <c r="G32" i="7" s="1"/>
  <c r="H32" i="8" s="1"/>
  <c r="I37" i="6"/>
  <c r="C38" i="6"/>
  <c r="C35" i="8"/>
  <c r="B38" i="6"/>
  <c r="B35" i="8"/>
  <c r="A36" i="7"/>
  <c r="B37" i="7"/>
  <c r="C36" i="7"/>
  <c r="F31" i="7" l="1"/>
  <c r="G28" i="8"/>
  <c r="N28" i="8"/>
  <c r="E30" i="7"/>
  <c r="D30" i="8" s="1"/>
  <c r="A30" i="8" s="1"/>
  <c r="D34" i="6"/>
  <c r="D30" i="7"/>
  <c r="R28" i="8"/>
  <c r="AF28" i="8" s="1"/>
  <c r="M28" i="8"/>
  <c r="E29" i="8"/>
  <c r="F29" i="8"/>
  <c r="L29" i="8"/>
  <c r="I31" i="8"/>
  <c r="J31" i="8"/>
  <c r="K30" i="8"/>
  <c r="J32" i="8"/>
  <c r="F32" i="7"/>
  <c r="J36" i="6"/>
  <c r="G33" i="7" s="1"/>
  <c r="H33" i="8" s="1"/>
  <c r="I38" i="6"/>
  <c r="B39" i="6"/>
  <c r="B36" i="8"/>
  <c r="C39" i="6"/>
  <c r="C36" i="8"/>
  <c r="A37" i="7"/>
  <c r="B38" i="7"/>
  <c r="C37" i="7"/>
  <c r="O28" i="8" l="1"/>
  <c r="AG28" i="8" s="1"/>
  <c r="F30" i="8"/>
  <c r="N30" i="8" s="1"/>
  <c r="E30" i="8"/>
  <c r="L30" i="8"/>
  <c r="G29" i="8"/>
  <c r="N29" i="8"/>
  <c r="R29" i="8"/>
  <c r="AF29" i="8" s="1"/>
  <c r="M29" i="8"/>
  <c r="E31" i="7"/>
  <c r="D31" i="8" s="1"/>
  <c r="A31" i="8" s="1"/>
  <c r="D31" i="7"/>
  <c r="D35" i="6"/>
  <c r="J37" i="6"/>
  <c r="G34" i="7" s="1"/>
  <c r="H34" i="8" s="1"/>
  <c r="K31" i="8"/>
  <c r="I32" i="8"/>
  <c r="I33" i="8"/>
  <c r="F33" i="7"/>
  <c r="B40" i="6"/>
  <c r="B37" i="8"/>
  <c r="I39" i="6"/>
  <c r="C40" i="6"/>
  <c r="C37" i="8"/>
  <c r="A38" i="7"/>
  <c r="B39" i="7"/>
  <c r="C38" i="7"/>
  <c r="G30" i="8" l="1"/>
  <c r="E31" i="8"/>
  <c r="F31" i="8"/>
  <c r="L31" i="8"/>
  <c r="E32" i="7"/>
  <c r="D32" i="8" s="1"/>
  <c r="A32" i="8" s="1"/>
  <c r="D36" i="6"/>
  <c r="D32" i="7"/>
  <c r="O29" i="8"/>
  <c r="AG29" i="8" s="1"/>
  <c r="R30" i="8"/>
  <c r="AF30" i="8" s="1"/>
  <c r="M30" i="8"/>
  <c r="O30" i="8" s="1"/>
  <c r="J38" i="6"/>
  <c r="G35" i="7" s="1"/>
  <c r="H35" i="8" s="1"/>
  <c r="I35" i="8" s="1"/>
  <c r="K32" i="8"/>
  <c r="F34" i="7"/>
  <c r="J33" i="8"/>
  <c r="C41" i="6"/>
  <c r="C38" i="8"/>
  <c r="B41" i="6"/>
  <c r="B38" i="8"/>
  <c r="I40" i="6"/>
  <c r="A39" i="7"/>
  <c r="B40" i="7"/>
  <c r="C39" i="7"/>
  <c r="G31" i="8" l="1"/>
  <c r="N31" i="8"/>
  <c r="F32" i="8"/>
  <c r="N32" i="8" s="1"/>
  <c r="E32" i="8"/>
  <c r="M32" i="8" s="1"/>
  <c r="L32" i="8"/>
  <c r="AG30" i="8"/>
  <c r="E33" i="7"/>
  <c r="D33" i="8" s="1"/>
  <c r="A33" i="8" s="1"/>
  <c r="D37" i="6"/>
  <c r="D33" i="7"/>
  <c r="R31" i="8"/>
  <c r="AF31" i="8" s="1"/>
  <c r="M31" i="8"/>
  <c r="J39" i="6"/>
  <c r="G36" i="7" s="1"/>
  <c r="H36" i="8" s="1"/>
  <c r="F35" i="7"/>
  <c r="I34" i="8"/>
  <c r="J34" i="8"/>
  <c r="K33" i="8"/>
  <c r="J35" i="8"/>
  <c r="B42" i="6"/>
  <c r="B39" i="8"/>
  <c r="I41" i="6"/>
  <c r="C42" i="6"/>
  <c r="C39" i="8"/>
  <c r="A40" i="7"/>
  <c r="B41" i="7"/>
  <c r="C40" i="7"/>
  <c r="O31" i="8" l="1"/>
  <c r="AG31" i="8" s="1"/>
  <c r="G32" i="8"/>
  <c r="R32" i="8"/>
  <c r="AF32" i="8" s="1"/>
  <c r="F33" i="8"/>
  <c r="N33" i="8" s="1"/>
  <c r="E33" i="8"/>
  <c r="M33" i="8" s="1"/>
  <c r="L33" i="8"/>
  <c r="O32" i="8"/>
  <c r="E34" i="7"/>
  <c r="D34" i="8" s="1"/>
  <c r="A34" i="8" s="1"/>
  <c r="D38" i="6"/>
  <c r="D34" i="7"/>
  <c r="F36" i="7"/>
  <c r="J40" i="6"/>
  <c r="G37" i="7" s="1"/>
  <c r="H37" i="8" s="1"/>
  <c r="K34" i="8"/>
  <c r="J36" i="8"/>
  <c r="K35" i="8"/>
  <c r="I36" i="8"/>
  <c r="B43" i="6"/>
  <c r="B40" i="8"/>
  <c r="I42" i="6"/>
  <c r="C43" i="6"/>
  <c r="C40" i="8"/>
  <c r="A41" i="7"/>
  <c r="B42" i="7"/>
  <c r="C41" i="7"/>
  <c r="R33" i="8" l="1"/>
  <c r="AF33" i="8" s="1"/>
  <c r="G33" i="8"/>
  <c r="AG32" i="8"/>
  <c r="E34" i="8"/>
  <c r="M34" i="8" s="1"/>
  <c r="F34" i="8"/>
  <c r="L34" i="8"/>
  <c r="E35" i="7"/>
  <c r="D35" i="8" s="1"/>
  <c r="A35" i="8" s="1"/>
  <c r="D35" i="7"/>
  <c r="D39" i="6"/>
  <c r="O33" i="8"/>
  <c r="I37" i="8"/>
  <c r="J37" i="8"/>
  <c r="J41" i="6"/>
  <c r="G38" i="7" s="1"/>
  <c r="H38" i="8" s="1"/>
  <c r="F37" i="7"/>
  <c r="K36" i="8"/>
  <c r="B44" i="6"/>
  <c r="B41" i="8"/>
  <c r="I43" i="6"/>
  <c r="C44" i="6"/>
  <c r="C41" i="8"/>
  <c r="C42" i="7"/>
  <c r="B43" i="7"/>
  <c r="A42" i="7"/>
  <c r="J42" i="6" l="1"/>
  <c r="G39" i="7" s="1"/>
  <c r="H39" i="8" s="1"/>
  <c r="J39" i="8" s="1"/>
  <c r="AG33" i="8"/>
  <c r="F35" i="8"/>
  <c r="N35" i="8" s="1"/>
  <c r="E35" i="8"/>
  <c r="L35" i="8"/>
  <c r="E36" i="7"/>
  <c r="D36" i="8" s="1"/>
  <c r="A36" i="8" s="1"/>
  <c r="D36" i="7"/>
  <c r="D40" i="6"/>
  <c r="G34" i="8"/>
  <c r="N34" i="8"/>
  <c r="O34" i="8" s="1"/>
  <c r="R34" i="8"/>
  <c r="AF34" i="8" s="1"/>
  <c r="K37" i="8"/>
  <c r="J38" i="8"/>
  <c r="F38" i="7"/>
  <c r="I38" i="8"/>
  <c r="B45" i="6"/>
  <c r="B42" i="8"/>
  <c r="I44" i="6"/>
  <c r="C45" i="6"/>
  <c r="C42" i="8"/>
  <c r="C43" i="7"/>
  <c r="A43" i="7"/>
  <c r="B44" i="7"/>
  <c r="B45" i="7" s="1"/>
  <c r="J43" i="6" l="1"/>
  <c r="G40" i="7" s="1"/>
  <c r="H40" i="8" s="1"/>
  <c r="J40" i="8" s="1"/>
  <c r="F39" i="7"/>
  <c r="AG34" i="8"/>
  <c r="F36" i="8"/>
  <c r="N36" i="8" s="1"/>
  <c r="E36" i="8"/>
  <c r="L36" i="8"/>
  <c r="R35" i="8"/>
  <c r="AF35" i="8" s="1"/>
  <c r="M35" i="8"/>
  <c r="O35" i="8" s="1"/>
  <c r="E37" i="7"/>
  <c r="D37" i="8" s="1"/>
  <c r="A37" i="8" s="1"/>
  <c r="D37" i="7"/>
  <c r="D41" i="6"/>
  <c r="G35" i="8"/>
  <c r="K38" i="8"/>
  <c r="I39" i="8"/>
  <c r="C45" i="7"/>
  <c r="B46" i="7"/>
  <c r="C46" i="6"/>
  <c r="C43" i="8"/>
  <c r="I45" i="6"/>
  <c r="B46" i="6"/>
  <c r="B43" i="8"/>
  <c r="C44" i="7"/>
  <c r="A44" i="7"/>
  <c r="A45" i="7" s="1"/>
  <c r="J44" i="6" l="1"/>
  <c r="G41" i="7" s="1"/>
  <c r="H41" i="8" s="1"/>
  <c r="I41" i="8" s="1"/>
  <c r="F40" i="7"/>
  <c r="AG35" i="8"/>
  <c r="F37" i="8"/>
  <c r="N37" i="8" s="1"/>
  <c r="E37" i="8"/>
  <c r="M37" i="8" s="1"/>
  <c r="L37" i="8"/>
  <c r="R36" i="8"/>
  <c r="AF36" i="8" s="1"/>
  <c r="M36" i="8"/>
  <c r="O36" i="8" s="1"/>
  <c r="E38" i="7"/>
  <c r="D38" i="8" s="1"/>
  <c r="A38" i="8" s="1"/>
  <c r="D42" i="6"/>
  <c r="D38" i="7"/>
  <c r="G36" i="8"/>
  <c r="I40" i="8"/>
  <c r="K39" i="8"/>
  <c r="B45" i="8"/>
  <c r="B48" i="6"/>
  <c r="C47" i="6"/>
  <c r="I47" i="6" s="1"/>
  <c r="C44" i="8"/>
  <c r="C48" i="6"/>
  <c r="C45" i="8"/>
  <c r="B47" i="6"/>
  <c r="B44" i="8"/>
  <c r="C46" i="7"/>
  <c r="A46" i="7"/>
  <c r="B47" i="7"/>
  <c r="I46" i="6"/>
  <c r="J45" i="6" l="1"/>
  <c r="G42" i="7" s="1"/>
  <c r="H42" i="8" s="1"/>
  <c r="J42" i="8" s="1"/>
  <c r="F41" i="7"/>
  <c r="O37" i="8"/>
  <c r="G37" i="8"/>
  <c r="AG36" i="8"/>
  <c r="E38" i="8"/>
  <c r="M38" i="8" s="1"/>
  <c r="F38" i="8"/>
  <c r="N38" i="8" s="1"/>
  <c r="L38" i="8"/>
  <c r="E39" i="7"/>
  <c r="D39" i="8" s="1"/>
  <c r="A39" i="8" s="1"/>
  <c r="D43" i="6"/>
  <c r="D39" i="7"/>
  <c r="R37" i="8"/>
  <c r="AF37" i="8" s="1"/>
  <c r="K40" i="8"/>
  <c r="J41" i="8"/>
  <c r="C47" i="7"/>
  <c r="A47" i="7"/>
  <c r="B48" i="7"/>
  <c r="B49" i="6"/>
  <c r="B46" i="8"/>
  <c r="C49" i="6"/>
  <c r="C46" i="8"/>
  <c r="I48" i="6"/>
  <c r="J46" i="6" l="1"/>
  <c r="G43" i="7" s="1"/>
  <c r="H43" i="8" s="1"/>
  <c r="I43" i="8" s="1"/>
  <c r="F42" i="7"/>
  <c r="I42" i="8"/>
  <c r="AG37" i="8"/>
  <c r="G38" i="8"/>
  <c r="R38" i="8"/>
  <c r="AF38" i="8" s="1"/>
  <c r="E40" i="7"/>
  <c r="D40" i="8" s="1"/>
  <c r="A40" i="8" s="1"/>
  <c r="D40" i="7"/>
  <c r="D44" i="6"/>
  <c r="E39" i="8"/>
  <c r="F39" i="8"/>
  <c r="N39" i="8" s="1"/>
  <c r="L39" i="8"/>
  <c r="O38" i="8"/>
  <c r="K41" i="8"/>
  <c r="I49" i="6"/>
  <c r="B47" i="8"/>
  <c r="B50" i="6"/>
  <c r="C50" i="6"/>
  <c r="C47" i="8"/>
  <c r="C48" i="7"/>
  <c r="A48" i="7"/>
  <c r="B49" i="7"/>
  <c r="J47" i="6" l="1"/>
  <c r="G44" i="7" s="1"/>
  <c r="H44" i="8" s="1"/>
  <c r="J43" i="8"/>
  <c r="K43" i="8" s="1"/>
  <c r="K42" i="8"/>
  <c r="F43" i="7"/>
  <c r="G39" i="8"/>
  <c r="AG38" i="8"/>
  <c r="R39" i="8"/>
  <c r="AF39" i="8" s="1"/>
  <c r="M39" i="8"/>
  <c r="O39" i="8" s="1"/>
  <c r="E41" i="7"/>
  <c r="D41" i="8" s="1"/>
  <c r="A41" i="8" s="1"/>
  <c r="D45" i="6"/>
  <c r="D41" i="7"/>
  <c r="F40" i="8"/>
  <c r="N40" i="8" s="1"/>
  <c r="E40" i="8"/>
  <c r="L40" i="8"/>
  <c r="A49" i="7"/>
  <c r="C49" i="7"/>
  <c r="B50" i="7"/>
  <c r="B51" i="6"/>
  <c r="B48" i="8"/>
  <c r="C51" i="6"/>
  <c r="C48" i="8"/>
  <c r="I50" i="6"/>
  <c r="J48" i="6" l="1"/>
  <c r="G45" i="7" s="1"/>
  <c r="H45" i="8" s="1"/>
  <c r="F44" i="7"/>
  <c r="AG39" i="8"/>
  <c r="R40" i="8"/>
  <c r="AF40" i="8" s="1"/>
  <c r="M40" i="8"/>
  <c r="O40" i="8" s="1"/>
  <c r="F41" i="8"/>
  <c r="N41" i="8" s="1"/>
  <c r="E41" i="8"/>
  <c r="M41" i="8" s="1"/>
  <c r="L41" i="8"/>
  <c r="J49" i="6"/>
  <c r="F46" i="7" s="1"/>
  <c r="G40" i="8"/>
  <c r="E42" i="7"/>
  <c r="D42" i="8" s="1"/>
  <c r="A42" i="8" s="1"/>
  <c r="D42" i="7"/>
  <c r="D46" i="6"/>
  <c r="I51" i="6"/>
  <c r="A50" i="7"/>
  <c r="B51" i="7"/>
  <c r="C50" i="7"/>
  <c r="J44" i="8"/>
  <c r="I44" i="8"/>
  <c r="C52" i="6"/>
  <c r="C49" i="8"/>
  <c r="F45" i="7"/>
  <c r="B52" i="6"/>
  <c r="B49" i="8"/>
  <c r="J50" i="6" l="1"/>
  <c r="G47" i="7" s="1"/>
  <c r="H47" i="8" s="1"/>
  <c r="J47" i="8" s="1"/>
  <c r="R41" i="8"/>
  <c r="AF41" i="8" s="1"/>
  <c r="O41" i="8"/>
  <c r="AG40" i="8"/>
  <c r="G46" i="7"/>
  <c r="H46" i="8" s="1"/>
  <c r="I46" i="8" s="1"/>
  <c r="F42" i="8"/>
  <c r="N42" i="8" s="1"/>
  <c r="E42" i="8"/>
  <c r="M42" i="8" s="1"/>
  <c r="L42" i="8"/>
  <c r="G41" i="8"/>
  <c r="E43" i="7"/>
  <c r="D43" i="8" s="1"/>
  <c r="A43" i="8" s="1"/>
  <c r="D47" i="6"/>
  <c r="D43" i="7"/>
  <c r="K44" i="8"/>
  <c r="C50" i="8"/>
  <c r="C53" i="6"/>
  <c r="B52" i="7"/>
  <c r="C51" i="7"/>
  <c r="A51" i="7"/>
  <c r="B50" i="8"/>
  <c r="B53" i="6"/>
  <c r="I52" i="6"/>
  <c r="J45" i="8"/>
  <c r="I45" i="8"/>
  <c r="F47" i="7" l="1"/>
  <c r="I47" i="8"/>
  <c r="J51" i="6"/>
  <c r="F48" i="7" s="1"/>
  <c r="J46" i="8"/>
  <c r="K46" i="8" s="1"/>
  <c r="AG41" i="8"/>
  <c r="R42" i="8"/>
  <c r="AF42" i="8" s="1"/>
  <c r="G42" i="8"/>
  <c r="D44" i="7"/>
  <c r="D48" i="6"/>
  <c r="E44" i="7"/>
  <c r="D44" i="8" s="1"/>
  <c r="A44" i="8" s="1"/>
  <c r="F43" i="8"/>
  <c r="N43" i="8" s="1"/>
  <c r="E43" i="8"/>
  <c r="M43" i="8" s="1"/>
  <c r="L43" i="8"/>
  <c r="O42" i="8"/>
  <c r="A52" i="7"/>
  <c r="B53" i="7"/>
  <c r="C52" i="7"/>
  <c r="I53" i="6"/>
  <c r="K45" i="8"/>
  <c r="B51" i="8"/>
  <c r="B54" i="6"/>
  <c r="C51" i="8"/>
  <c r="C54" i="6"/>
  <c r="K47" i="8" l="1"/>
  <c r="J52" i="6"/>
  <c r="F49" i="7" s="1"/>
  <c r="G48" i="7"/>
  <c r="H48" i="8" s="1"/>
  <c r="I48" i="8" s="1"/>
  <c r="AG42" i="8"/>
  <c r="O43" i="8"/>
  <c r="F44" i="8"/>
  <c r="N44" i="8" s="1"/>
  <c r="E44" i="8"/>
  <c r="M44" i="8" s="1"/>
  <c r="L44" i="8"/>
  <c r="G43" i="8"/>
  <c r="D45" i="7"/>
  <c r="E45" i="7"/>
  <c r="D45" i="8" s="1"/>
  <c r="A45" i="8" s="1"/>
  <c r="D49" i="6"/>
  <c r="R43" i="8"/>
  <c r="AF43" i="8" s="1"/>
  <c r="C53" i="7"/>
  <c r="A53" i="7"/>
  <c r="B54" i="7"/>
  <c r="I54" i="6"/>
  <c r="B52" i="8"/>
  <c r="B55" i="6"/>
  <c r="C52" i="8"/>
  <c r="C55" i="6"/>
  <c r="J53" i="6" l="1"/>
  <c r="F50" i="7" s="1"/>
  <c r="G49" i="7"/>
  <c r="H49" i="8" s="1"/>
  <c r="I49" i="8" s="1"/>
  <c r="J48" i="8"/>
  <c r="K48" i="8" s="1"/>
  <c r="AG43" i="8"/>
  <c r="G44" i="8"/>
  <c r="D46" i="7"/>
  <c r="E46" i="7"/>
  <c r="D46" i="8" s="1"/>
  <c r="A46" i="8" s="1"/>
  <c r="D50" i="6"/>
  <c r="O44" i="8"/>
  <c r="E45" i="8"/>
  <c r="F45" i="8"/>
  <c r="L45" i="8"/>
  <c r="R44" i="8"/>
  <c r="AF44" i="8" s="1"/>
  <c r="I55" i="6"/>
  <c r="A54" i="7"/>
  <c r="B55" i="7"/>
  <c r="C54" i="7"/>
  <c r="B53" i="8"/>
  <c r="B56" i="6"/>
  <c r="C53" i="8"/>
  <c r="C56" i="6"/>
  <c r="J54" i="6" l="1"/>
  <c r="F51" i="7" s="1"/>
  <c r="J49" i="8"/>
  <c r="K49" i="8" s="1"/>
  <c r="G50" i="7"/>
  <c r="H50" i="8" s="1"/>
  <c r="I50" i="8" s="1"/>
  <c r="D47" i="7"/>
  <c r="E47" i="7"/>
  <c r="D47" i="8" s="1"/>
  <c r="A47" i="8" s="1"/>
  <c r="D51" i="6"/>
  <c r="AG44" i="8"/>
  <c r="G45" i="8"/>
  <c r="N45" i="8"/>
  <c r="E46" i="8"/>
  <c r="F46" i="8"/>
  <c r="N46" i="8" s="1"/>
  <c r="L46" i="8"/>
  <c r="R45" i="8"/>
  <c r="AF45" i="8" s="1"/>
  <c r="M45" i="8"/>
  <c r="C54" i="8"/>
  <c r="C57" i="6"/>
  <c r="J55" i="6"/>
  <c r="F52" i="7" s="1"/>
  <c r="B54" i="8"/>
  <c r="B57" i="6"/>
  <c r="B56" i="7"/>
  <c r="B57" i="7" s="1"/>
  <c r="C55" i="7"/>
  <c r="A55" i="7"/>
  <c r="I56" i="6"/>
  <c r="G51" i="7" l="1"/>
  <c r="H51" i="8" s="1"/>
  <c r="J51" i="8" s="1"/>
  <c r="C57" i="7"/>
  <c r="B58" i="7"/>
  <c r="J50" i="8"/>
  <c r="K50" i="8" s="1"/>
  <c r="O45" i="8"/>
  <c r="AG45" i="8" s="1"/>
  <c r="G46" i="8"/>
  <c r="D48" i="7"/>
  <c r="E48" i="7"/>
  <c r="D48" i="8" s="1"/>
  <c r="A48" i="8" s="1"/>
  <c r="D52" i="6"/>
  <c r="F47" i="8"/>
  <c r="N47" i="8" s="1"/>
  <c r="E47" i="8"/>
  <c r="L47" i="8"/>
  <c r="R46" i="8"/>
  <c r="AF46" i="8" s="1"/>
  <c r="M46" i="8"/>
  <c r="O46" i="8" s="1"/>
  <c r="I51" i="8"/>
  <c r="G52" i="7"/>
  <c r="H52" i="8" s="1"/>
  <c r="B55" i="8"/>
  <c r="B58" i="6"/>
  <c r="C55" i="8"/>
  <c r="C58" i="6"/>
  <c r="I57" i="6"/>
  <c r="J56" i="6"/>
  <c r="F53" i="7" s="1"/>
  <c r="A56" i="7"/>
  <c r="A57" i="7" s="1"/>
  <c r="C56" i="7"/>
  <c r="B60" i="6" l="1"/>
  <c r="B57" i="8"/>
  <c r="C57" i="8"/>
  <c r="C60" i="6"/>
  <c r="C58" i="7"/>
  <c r="A58" i="7"/>
  <c r="B59" i="7"/>
  <c r="K51" i="8"/>
  <c r="AG46" i="8"/>
  <c r="G47" i="8"/>
  <c r="D49" i="7"/>
  <c r="E49" i="7"/>
  <c r="D49" i="8" s="1"/>
  <c r="A49" i="8" s="1"/>
  <c r="D53" i="6"/>
  <c r="D54" i="6" s="1"/>
  <c r="D55" i="6" s="1"/>
  <c r="L48" i="8"/>
  <c r="E48" i="8"/>
  <c r="F48" i="8"/>
  <c r="N48" i="8" s="1"/>
  <c r="R47" i="8"/>
  <c r="AF47" i="8" s="1"/>
  <c r="M47" i="8"/>
  <c r="O47" i="8" s="1"/>
  <c r="G53" i="7"/>
  <c r="H53" i="8" s="1"/>
  <c r="I53" i="8" s="1"/>
  <c r="I58" i="6"/>
  <c r="J57" i="6"/>
  <c r="F54" i="7" s="1"/>
  <c r="C56" i="8"/>
  <c r="C59" i="6"/>
  <c r="J52" i="8"/>
  <c r="I52" i="8"/>
  <c r="B56" i="8"/>
  <c r="B59" i="6"/>
  <c r="I60" i="6" l="1"/>
  <c r="B58" i="8"/>
  <c r="B61" i="6"/>
  <c r="C58" i="8"/>
  <c r="C61" i="6"/>
  <c r="B60" i="7"/>
  <c r="A59" i="7"/>
  <c r="C59" i="7"/>
  <c r="D52" i="7"/>
  <c r="E52" i="7"/>
  <c r="D52" i="8" s="1"/>
  <c r="D56" i="6"/>
  <c r="E51" i="7"/>
  <c r="D51" i="8" s="1"/>
  <c r="A51" i="8" s="1"/>
  <c r="D51" i="7"/>
  <c r="AG47" i="8"/>
  <c r="E50" i="7"/>
  <c r="D50" i="8" s="1"/>
  <c r="A50" i="8" s="1"/>
  <c r="D50" i="7"/>
  <c r="R48" i="8"/>
  <c r="AF48" i="8" s="1"/>
  <c r="M48" i="8"/>
  <c r="O48" i="8" s="1"/>
  <c r="E49" i="8"/>
  <c r="F49" i="8"/>
  <c r="L49" i="8"/>
  <c r="G48" i="8"/>
  <c r="G54" i="7"/>
  <c r="H54" i="8" s="1"/>
  <c r="J53" i="8"/>
  <c r="I59" i="6"/>
  <c r="J58" i="6"/>
  <c r="F55" i="7" s="1"/>
  <c r="K52" i="8"/>
  <c r="B59" i="8" l="1"/>
  <c r="B62" i="6"/>
  <c r="I61" i="6"/>
  <c r="C59" i="8"/>
  <c r="C62" i="6"/>
  <c r="B61" i="7"/>
  <c r="C60" i="7"/>
  <c r="A60" i="7"/>
  <c r="E53" i="7"/>
  <c r="D53" i="8" s="1"/>
  <c r="D53" i="7"/>
  <c r="D57" i="6"/>
  <c r="A52" i="8"/>
  <c r="F52" i="8"/>
  <c r="N52" i="8" s="1"/>
  <c r="E52" i="8"/>
  <c r="L52" i="8"/>
  <c r="E51" i="8"/>
  <c r="F51" i="8"/>
  <c r="N51" i="8" s="1"/>
  <c r="L51" i="8"/>
  <c r="AG48" i="8"/>
  <c r="G49" i="8"/>
  <c r="N49" i="8"/>
  <c r="R49" i="8"/>
  <c r="AF49" i="8" s="1"/>
  <c r="M49" i="8"/>
  <c r="L50" i="8"/>
  <c r="E50" i="8"/>
  <c r="F50" i="8"/>
  <c r="N50" i="8" s="1"/>
  <c r="K53" i="8"/>
  <c r="G55" i="7"/>
  <c r="H55" i="8" s="1"/>
  <c r="J59" i="6"/>
  <c r="F56" i="7" s="1"/>
  <c r="J54" i="8"/>
  <c r="I54" i="8"/>
  <c r="B63" i="6" l="1"/>
  <c r="B60" i="8"/>
  <c r="J60" i="6"/>
  <c r="C60" i="8"/>
  <c r="C63" i="6"/>
  <c r="I62" i="6"/>
  <c r="C61" i="7"/>
  <c r="B62" i="7"/>
  <c r="A61" i="7"/>
  <c r="E54" i="7"/>
  <c r="D54" i="8" s="1"/>
  <c r="D54" i="7"/>
  <c r="D58" i="6"/>
  <c r="R52" i="8"/>
  <c r="AF52" i="8" s="1"/>
  <c r="M52" i="8"/>
  <c r="O52" i="8" s="1"/>
  <c r="A53" i="8"/>
  <c r="F53" i="8"/>
  <c r="N53" i="8" s="1"/>
  <c r="E53" i="8"/>
  <c r="L53" i="8"/>
  <c r="G52" i="8"/>
  <c r="G51" i="8"/>
  <c r="G50" i="8"/>
  <c r="R51" i="8"/>
  <c r="AF51" i="8" s="1"/>
  <c r="M51" i="8"/>
  <c r="O51" i="8" s="1"/>
  <c r="R50" i="8"/>
  <c r="AF50" i="8" s="1"/>
  <c r="M50" i="8"/>
  <c r="O50" i="8" s="1"/>
  <c r="O49" i="8"/>
  <c r="AG49" i="8" s="1"/>
  <c r="G56" i="7"/>
  <c r="H56" i="8" s="1"/>
  <c r="K54" i="8"/>
  <c r="I55" i="8"/>
  <c r="J55" i="8"/>
  <c r="C61" i="8" l="1"/>
  <c r="C64" i="6"/>
  <c r="I63" i="6"/>
  <c r="F57" i="7"/>
  <c r="G57" i="7"/>
  <c r="H57" i="8" s="1"/>
  <c r="B64" i="6"/>
  <c r="B61" i="8"/>
  <c r="J61" i="6"/>
  <c r="J62" i="6" s="1"/>
  <c r="F59" i="7" s="1"/>
  <c r="A62" i="7"/>
  <c r="B63" i="7"/>
  <c r="C62" i="7"/>
  <c r="AG52" i="8"/>
  <c r="G53" i="8"/>
  <c r="E55" i="7"/>
  <c r="D55" i="8" s="1"/>
  <c r="D59" i="6"/>
  <c r="D60" i="6" s="1"/>
  <c r="D55" i="7"/>
  <c r="R53" i="8"/>
  <c r="AF53" i="8" s="1"/>
  <c r="M53" i="8"/>
  <c r="O53" i="8" s="1"/>
  <c r="A54" i="8"/>
  <c r="F54" i="8"/>
  <c r="N54" i="8" s="1"/>
  <c r="E54" i="8"/>
  <c r="L54" i="8"/>
  <c r="AG51" i="8"/>
  <c r="AG50" i="8"/>
  <c r="I56" i="8"/>
  <c r="J56" i="8"/>
  <c r="K55" i="8"/>
  <c r="C65" i="6" l="1"/>
  <c r="C62" i="8"/>
  <c r="J57" i="8"/>
  <c r="I57" i="8"/>
  <c r="I64" i="6"/>
  <c r="F58" i="7"/>
  <c r="G58" i="7"/>
  <c r="H58" i="8" s="1"/>
  <c r="J63" i="6"/>
  <c r="F60" i="7" s="1"/>
  <c r="E57" i="7"/>
  <c r="D57" i="8" s="1"/>
  <c r="A57" i="8" s="1"/>
  <c r="D57" i="7"/>
  <c r="D61" i="6"/>
  <c r="B62" i="8"/>
  <c r="B65" i="6"/>
  <c r="G59" i="7"/>
  <c r="H59" i="8" s="1"/>
  <c r="A63" i="7"/>
  <c r="B64" i="7"/>
  <c r="C63" i="7"/>
  <c r="R54" i="8"/>
  <c r="AF54" i="8" s="1"/>
  <c r="M54" i="8"/>
  <c r="O54" i="8" s="1"/>
  <c r="E56" i="7"/>
  <c r="D56" i="7"/>
  <c r="AG53" i="8"/>
  <c r="A55" i="8"/>
  <c r="F55" i="8"/>
  <c r="N55" i="8" s="1"/>
  <c r="E55" i="8"/>
  <c r="L55" i="8"/>
  <c r="G54" i="8"/>
  <c r="K56" i="8"/>
  <c r="G60" i="7" l="1"/>
  <c r="H60" i="8" s="1"/>
  <c r="I60" i="8" s="1"/>
  <c r="K57" i="8"/>
  <c r="B63" i="8"/>
  <c r="B66" i="6"/>
  <c r="E58" i="7"/>
  <c r="D58" i="8" s="1"/>
  <c r="A58" i="8" s="1"/>
  <c r="D58" i="7"/>
  <c r="D62" i="6"/>
  <c r="I59" i="8"/>
  <c r="J59" i="8"/>
  <c r="I58" i="8"/>
  <c r="J58" i="8"/>
  <c r="J64" i="6"/>
  <c r="F61" i="7" s="1"/>
  <c r="C66" i="6"/>
  <c r="C63" i="8"/>
  <c r="E57" i="8"/>
  <c r="M57" i="8" s="1"/>
  <c r="F57" i="8"/>
  <c r="N57" i="8" s="1"/>
  <c r="L57" i="8"/>
  <c r="I65" i="6"/>
  <c r="A64" i="7"/>
  <c r="B65" i="7"/>
  <c r="C64" i="7"/>
  <c r="D56" i="8"/>
  <c r="I7" i="7"/>
  <c r="I9" i="7" s="1"/>
  <c r="AG54" i="8"/>
  <c r="R55" i="8"/>
  <c r="AF55" i="8" s="1"/>
  <c r="M55" i="8"/>
  <c r="G55" i="8"/>
  <c r="J60" i="8" l="1"/>
  <c r="K60" i="8" s="1"/>
  <c r="R57" i="8"/>
  <c r="AF57" i="8" s="1"/>
  <c r="K59" i="8"/>
  <c r="B67" i="6"/>
  <c r="B64" i="8"/>
  <c r="O57" i="8"/>
  <c r="G61" i="7"/>
  <c r="H61" i="8" s="1"/>
  <c r="E58" i="8"/>
  <c r="M58" i="8" s="1"/>
  <c r="L58" i="8"/>
  <c r="F58" i="8"/>
  <c r="N58" i="8" s="1"/>
  <c r="G57" i="8"/>
  <c r="K58" i="8"/>
  <c r="C64" i="8"/>
  <c r="C67" i="6"/>
  <c r="J65" i="6"/>
  <c r="F62" i="7" s="1"/>
  <c r="I66" i="6"/>
  <c r="D59" i="7"/>
  <c r="E59" i="7"/>
  <c r="D59" i="8" s="1"/>
  <c r="A59" i="8" s="1"/>
  <c r="D63" i="6"/>
  <c r="E56" i="8"/>
  <c r="F56" i="8"/>
  <c r="A56" i="8"/>
  <c r="L56" i="8"/>
  <c r="A65" i="7"/>
  <c r="C65" i="7"/>
  <c r="B66" i="7"/>
  <c r="O55" i="8"/>
  <c r="AG55" i="8" s="1"/>
  <c r="AG57" i="8" l="1"/>
  <c r="G58" i="8"/>
  <c r="R58" i="8"/>
  <c r="AF58" i="8" s="1"/>
  <c r="C65" i="8"/>
  <c r="C68" i="6"/>
  <c r="G62" i="7"/>
  <c r="H62" i="8" s="1"/>
  <c r="J66" i="6"/>
  <c r="F63" i="7" s="1"/>
  <c r="I61" i="8"/>
  <c r="J61" i="8"/>
  <c r="O58" i="8"/>
  <c r="E59" i="8"/>
  <c r="M59" i="8" s="1"/>
  <c r="L59" i="8"/>
  <c r="F59" i="8"/>
  <c r="N59" i="8" s="1"/>
  <c r="B65" i="8"/>
  <c r="B68" i="6"/>
  <c r="D60" i="7"/>
  <c r="E60" i="7"/>
  <c r="D60" i="8" s="1"/>
  <c r="A60" i="8" s="1"/>
  <c r="D64" i="6"/>
  <c r="I67" i="6"/>
  <c r="R56" i="8"/>
  <c r="AF56" i="8" s="1"/>
  <c r="N56" i="8"/>
  <c r="M56" i="8"/>
  <c r="G56" i="8"/>
  <c r="C66" i="7"/>
  <c r="A66" i="7"/>
  <c r="B67" i="7"/>
  <c r="AG58" i="8" l="1"/>
  <c r="R59" i="8"/>
  <c r="AF59" i="8" s="1"/>
  <c r="G63" i="7"/>
  <c r="H63" i="8" s="1"/>
  <c r="I63" i="8" s="1"/>
  <c r="G59" i="8"/>
  <c r="C69" i="6"/>
  <c r="C66" i="8"/>
  <c r="D61" i="7"/>
  <c r="E61" i="7"/>
  <c r="D61" i="8" s="1"/>
  <c r="A61" i="8" s="1"/>
  <c r="D65" i="6"/>
  <c r="K61" i="8"/>
  <c r="I62" i="8"/>
  <c r="J62" i="8"/>
  <c r="F60" i="8"/>
  <c r="N60" i="8" s="1"/>
  <c r="E60" i="8"/>
  <c r="L60" i="8"/>
  <c r="O59" i="8"/>
  <c r="I68" i="6"/>
  <c r="B69" i="6"/>
  <c r="B66" i="8"/>
  <c r="J67" i="6"/>
  <c r="F64" i="7" s="1"/>
  <c r="O56" i="8"/>
  <c r="A67" i="7"/>
  <c r="B68" i="7"/>
  <c r="B69" i="7" s="1"/>
  <c r="C67" i="7"/>
  <c r="C69" i="7" l="1"/>
  <c r="B70" i="7"/>
  <c r="J63" i="8"/>
  <c r="K63" i="8" s="1"/>
  <c r="G64" i="7"/>
  <c r="H64" i="8" s="1"/>
  <c r="J64" i="8" s="1"/>
  <c r="AG59" i="8"/>
  <c r="B67" i="8"/>
  <c r="B70" i="6"/>
  <c r="L61" i="8"/>
  <c r="E61" i="8"/>
  <c r="F61" i="8"/>
  <c r="R60" i="8"/>
  <c r="AF60" i="8" s="1"/>
  <c r="M60" i="8"/>
  <c r="O60" i="8" s="1"/>
  <c r="K62" i="8"/>
  <c r="J68" i="6"/>
  <c r="F65" i="7" s="1"/>
  <c r="C67" i="8"/>
  <c r="C70" i="6"/>
  <c r="G60" i="8"/>
  <c r="D62" i="7"/>
  <c r="E62" i="7"/>
  <c r="D62" i="8" s="1"/>
  <c r="A62" i="8" s="1"/>
  <c r="D66" i="6"/>
  <c r="I69" i="6"/>
  <c r="AG56" i="8"/>
  <c r="A68" i="7"/>
  <c r="A69" i="7" s="1"/>
  <c r="C68" i="7"/>
  <c r="B72" i="6" l="1"/>
  <c r="B69" i="8"/>
  <c r="C72" i="6"/>
  <c r="C69" i="8"/>
  <c r="C70" i="7"/>
  <c r="A70" i="7"/>
  <c r="B71" i="7"/>
  <c r="I72" i="6"/>
  <c r="I64" i="8"/>
  <c r="AG60" i="8"/>
  <c r="B68" i="8"/>
  <c r="B71" i="6"/>
  <c r="J69" i="6"/>
  <c r="F66" i="7" s="1"/>
  <c r="G65" i="7"/>
  <c r="H65" i="8" s="1"/>
  <c r="D63" i="7"/>
  <c r="E63" i="7"/>
  <c r="D63" i="8" s="1"/>
  <c r="A63" i="8" s="1"/>
  <c r="D67" i="6"/>
  <c r="I70" i="6"/>
  <c r="G61" i="8"/>
  <c r="N61" i="8"/>
  <c r="C71" i="6"/>
  <c r="C68" i="8"/>
  <c r="E62" i="8"/>
  <c r="M62" i="8" s="1"/>
  <c r="L62" i="8"/>
  <c r="F62" i="8"/>
  <c r="N62" i="8" s="1"/>
  <c r="R61" i="8"/>
  <c r="AF61" i="8" s="1"/>
  <c r="M61" i="8"/>
  <c r="B73" i="6" l="1"/>
  <c r="B70" i="8"/>
  <c r="C73" i="6"/>
  <c r="C70" i="8"/>
  <c r="A71" i="7"/>
  <c r="B72" i="7"/>
  <c r="C71" i="7"/>
  <c r="I73" i="6"/>
  <c r="K64" i="8"/>
  <c r="G66" i="7"/>
  <c r="H66" i="8" s="1"/>
  <c r="I66" i="8" s="1"/>
  <c r="R62" i="8"/>
  <c r="AF62" i="8" s="1"/>
  <c r="I71" i="6"/>
  <c r="J70" i="6"/>
  <c r="F67" i="7" s="1"/>
  <c r="E63" i="8"/>
  <c r="M63" i="8" s="1"/>
  <c r="L63" i="8"/>
  <c r="F63" i="8"/>
  <c r="N63" i="8" s="1"/>
  <c r="O62" i="8"/>
  <c r="O61" i="8"/>
  <c r="AG61" i="8" s="1"/>
  <c r="G62" i="8"/>
  <c r="D64" i="7"/>
  <c r="E64" i="7"/>
  <c r="D64" i="8" s="1"/>
  <c r="A64" i="8" s="1"/>
  <c r="D68" i="6"/>
  <c r="I65" i="8"/>
  <c r="J65" i="8"/>
  <c r="C74" i="6" l="1"/>
  <c r="C71" i="8"/>
  <c r="B74" i="6"/>
  <c r="B71" i="8"/>
  <c r="B73" i="7"/>
  <c r="C72" i="7"/>
  <c r="A72" i="7"/>
  <c r="I74" i="6"/>
  <c r="AG62" i="8"/>
  <c r="J66" i="8"/>
  <c r="K66" i="8" s="1"/>
  <c r="G67" i="7"/>
  <c r="H67" i="8" s="1"/>
  <c r="J67" i="8" s="1"/>
  <c r="R63" i="8"/>
  <c r="AF63" i="8" s="1"/>
  <c r="O63" i="8"/>
  <c r="D65" i="7"/>
  <c r="E65" i="7"/>
  <c r="D65" i="8" s="1"/>
  <c r="A65" i="8" s="1"/>
  <c r="D69" i="6"/>
  <c r="E64" i="8"/>
  <c r="F64" i="8"/>
  <c r="N64" i="8" s="1"/>
  <c r="L64" i="8"/>
  <c r="K65" i="8"/>
  <c r="G63" i="8"/>
  <c r="J71" i="6"/>
  <c r="B75" i="6" l="1"/>
  <c r="B72" i="8"/>
  <c r="C75" i="6"/>
  <c r="I75" i="6" s="1"/>
  <c r="C72" i="8"/>
  <c r="F68" i="7"/>
  <c r="J72" i="6"/>
  <c r="C73" i="7"/>
  <c r="B74" i="7"/>
  <c r="A73" i="7"/>
  <c r="AG63" i="8"/>
  <c r="G64" i="8"/>
  <c r="I67" i="8"/>
  <c r="G68" i="7"/>
  <c r="H68" i="8" s="1"/>
  <c r="D66" i="7"/>
  <c r="E66" i="7"/>
  <c r="D66" i="8" s="1"/>
  <c r="A66" i="8" s="1"/>
  <c r="D70" i="6"/>
  <c r="E65" i="8"/>
  <c r="F65" i="8"/>
  <c r="L65" i="8"/>
  <c r="R64" i="8"/>
  <c r="AF64" i="8" s="1"/>
  <c r="M64" i="8"/>
  <c r="O64" i="8" s="1"/>
  <c r="C76" i="6" l="1"/>
  <c r="C73" i="8"/>
  <c r="B76" i="6"/>
  <c r="B73" i="8"/>
  <c r="I76" i="6"/>
  <c r="C74" i="7"/>
  <c r="A74" i="7"/>
  <c r="B75" i="7"/>
  <c r="F69" i="7"/>
  <c r="G69" i="7"/>
  <c r="H69" i="8" s="1"/>
  <c r="J73" i="6"/>
  <c r="AG64" i="8"/>
  <c r="K67" i="8"/>
  <c r="D67" i="7"/>
  <c r="E67" i="7"/>
  <c r="D67" i="8" s="1"/>
  <c r="A67" i="8" s="1"/>
  <c r="D71" i="6"/>
  <c r="D72" i="6" s="1"/>
  <c r="J68" i="8"/>
  <c r="I68" i="8"/>
  <c r="E66" i="8"/>
  <c r="M66" i="8" s="1"/>
  <c r="F66" i="8"/>
  <c r="N66" i="8" s="1"/>
  <c r="L66" i="8"/>
  <c r="G65" i="8"/>
  <c r="N65" i="8"/>
  <c r="R65" i="8"/>
  <c r="AF65" i="8" s="1"/>
  <c r="M65" i="8"/>
  <c r="B77" i="6" l="1"/>
  <c r="B74" i="8"/>
  <c r="C77" i="6"/>
  <c r="C74" i="8"/>
  <c r="I69" i="8"/>
  <c r="J69" i="8"/>
  <c r="I77" i="6"/>
  <c r="D69" i="7"/>
  <c r="E69" i="7"/>
  <c r="D69" i="8" s="1"/>
  <c r="D73" i="6"/>
  <c r="A75" i="7"/>
  <c r="B76" i="7"/>
  <c r="C75" i="7"/>
  <c r="F70" i="7"/>
  <c r="G70" i="7"/>
  <c r="H70" i="8" s="1"/>
  <c r="J74" i="6"/>
  <c r="R66" i="8"/>
  <c r="AF66" i="8" s="1"/>
  <c r="K68" i="8"/>
  <c r="O66" i="8"/>
  <c r="O65" i="8"/>
  <c r="AG65" i="8" s="1"/>
  <c r="G66" i="8"/>
  <c r="D68" i="7"/>
  <c r="E68" i="7"/>
  <c r="D68" i="8" s="1"/>
  <c r="E67" i="8"/>
  <c r="M67" i="8" s="1"/>
  <c r="L67" i="8"/>
  <c r="F67" i="8"/>
  <c r="N67" i="8" s="1"/>
  <c r="J70" i="8" l="1"/>
  <c r="I70" i="8"/>
  <c r="K70" i="8" s="1"/>
  <c r="B78" i="6"/>
  <c r="B75" i="8"/>
  <c r="C78" i="6"/>
  <c r="C75" i="8"/>
  <c r="K69" i="8"/>
  <c r="A69" i="8"/>
  <c r="E69" i="8"/>
  <c r="M69" i="8" s="1"/>
  <c r="F69" i="8"/>
  <c r="N69" i="8" s="1"/>
  <c r="L69" i="8"/>
  <c r="F71" i="7"/>
  <c r="G71" i="7"/>
  <c r="H71" i="8" s="1"/>
  <c r="J75" i="6"/>
  <c r="B77" i="7"/>
  <c r="C76" i="7"/>
  <c r="A76" i="7"/>
  <c r="D70" i="7"/>
  <c r="E70" i="7"/>
  <c r="D70" i="8" s="1"/>
  <c r="D74" i="6"/>
  <c r="I78" i="6"/>
  <c r="A68" i="8"/>
  <c r="AG66" i="8"/>
  <c r="R67" i="8"/>
  <c r="AF67" i="8" s="1"/>
  <c r="O67" i="8"/>
  <c r="F68" i="8"/>
  <c r="L68" i="8"/>
  <c r="E68" i="8"/>
  <c r="G67" i="8"/>
  <c r="B79" i="6" l="1"/>
  <c r="B76" i="8"/>
  <c r="I71" i="8"/>
  <c r="J71" i="8"/>
  <c r="C79" i="6"/>
  <c r="C76" i="8"/>
  <c r="L70" i="8"/>
  <c r="A70" i="8"/>
  <c r="E70" i="8"/>
  <c r="M70" i="8" s="1"/>
  <c r="F70" i="8"/>
  <c r="N70" i="8" s="1"/>
  <c r="O69" i="8"/>
  <c r="AG69" i="8" s="1"/>
  <c r="G69" i="8"/>
  <c r="D71" i="7"/>
  <c r="E71" i="7"/>
  <c r="D71" i="8" s="1"/>
  <c r="D75" i="6"/>
  <c r="A77" i="7"/>
  <c r="B78" i="7"/>
  <c r="C77" i="7"/>
  <c r="F72" i="7"/>
  <c r="G72" i="7"/>
  <c r="H72" i="8" s="1"/>
  <c r="J76" i="6"/>
  <c r="I79" i="6"/>
  <c r="N68" i="8"/>
  <c r="AG67" i="8"/>
  <c r="M68" i="8"/>
  <c r="G68" i="8"/>
  <c r="K71" i="8" l="1"/>
  <c r="C80" i="6"/>
  <c r="I80" i="6" s="1"/>
  <c r="C77" i="8"/>
  <c r="I72" i="8"/>
  <c r="J72" i="8"/>
  <c r="B80" i="6"/>
  <c r="B77" i="8"/>
  <c r="L71" i="8"/>
  <c r="A71" i="8"/>
  <c r="E71" i="8"/>
  <c r="M71" i="8" s="1"/>
  <c r="F71" i="8"/>
  <c r="N71" i="8" s="1"/>
  <c r="G70" i="8"/>
  <c r="O70" i="8"/>
  <c r="AG70" i="8" s="1"/>
  <c r="D72" i="7"/>
  <c r="E72" i="7"/>
  <c r="D72" i="8" s="1"/>
  <c r="D76" i="6"/>
  <c r="F73" i="7"/>
  <c r="G73" i="7"/>
  <c r="H73" i="8" s="1"/>
  <c r="J77" i="6"/>
  <c r="A78" i="7"/>
  <c r="B79" i="7"/>
  <c r="C78" i="7"/>
  <c r="R68" i="8"/>
  <c r="O68" i="8"/>
  <c r="B81" i="6" l="1"/>
  <c r="B78" i="8"/>
  <c r="K72" i="8"/>
  <c r="I73" i="8"/>
  <c r="K73" i="8" s="1"/>
  <c r="J73" i="8"/>
  <c r="C81" i="6"/>
  <c r="I81" i="6" s="1"/>
  <c r="C78" i="8"/>
  <c r="O71" i="8"/>
  <c r="AG71" i="8" s="1"/>
  <c r="F72" i="8"/>
  <c r="N72" i="8" s="1"/>
  <c r="L72" i="8"/>
  <c r="A72" i="8"/>
  <c r="E72" i="8"/>
  <c r="M72" i="8" s="1"/>
  <c r="G71" i="8"/>
  <c r="F74" i="7"/>
  <c r="G74" i="7"/>
  <c r="H74" i="8" s="1"/>
  <c r="J78" i="6"/>
  <c r="B80" i="7"/>
  <c r="C79" i="7"/>
  <c r="A79" i="7"/>
  <c r="D73" i="7"/>
  <c r="E73" i="7"/>
  <c r="D73" i="8" s="1"/>
  <c r="D77" i="6"/>
  <c r="AF68" i="8"/>
  <c r="B82" i="6" l="1"/>
  <c r="B79" i="8"/>
  <c r="I74" i="8"/>
  <c r="J74" i="8"/>
  <c r="K74" i="8" s="1"/>
  <c r="C82" i="6"/>
  <c r="I82" i="6" s="1"/>
  <c r="C79" i="8"/>
  <c r="O72" i="8"/>
  <c r="AG72" i="8" s="1"/>
  <c r="G72" i="8"/>
  <c r="A73" i="8"/>
  <c r="E73" i="8"/>
  <c r="M73" i="8" s="1"/>
  <c r="F73" i="8"/>
  <c r="N73" i="8" s="1"/>
  <c r="L73" i="8"/>
  <c r="F75" i="7"/>
  <c r="G75" i="7"/>
  <c r="H75" i="8" s="1"/>
  <c r="J79" i="6"/>
  <c r="D74" i="7"/>
  <c r="E74" i="7"/>
  <c r="D74" i="8" s="1"/>
  <c r="D78" i="6"/>
  <c r="A80" i="7"/>
  <c r="C80" i="7"/>
  <c r="B81" i="7"/>
  <c r="AG68" i="8"/>
  <c r="B83" i="6" l="1"/>
  <c r="B80" i="8"/>
  <c r="I75" i="8"/>
  <c r="J75" i="8"/>
  <c r="K75" i="8" s="1"/>
  <c r="C83" i="6"/>
  <c r="C80" i="8"/>
  <c r="G73" i="8"/>
  <c r="L74" i="8"/>
  <c r="A74" i="8"/>
  <c r="E74" i="8"/>
  <c r="M74" i="8" s="1"/>
  <c r="F74" i="8"/>
  <c r="N74" i="8" s="1"/>
  <c r="O73" i="8"/>
  <c r="AG73" i="8" s="1"/>
  <c r="D75" i="7"/>
  <c r="E75" i="7"/>
  <c r="D75" i="8" s="1"/>
  <c r="D79" i="6"/>
  <c r="C81" i="7"/>
  <c r="A81" i="7"/>
  <c r="B82" i="7"/>
  <c r="I83" i="6"/>
  <c r="F76" i="7"/>
  <c r="G76" i="7"/>
  <c r="H76" i="8" s="1"/>
  <c r="J80" i="6"/>
  <c r="C84" i="6" l="1"/>
  <c r="C81" i="8"/>
  <c r="I76" i="8"/>
  <c r="J76" i="8"/>
  <c r="K76" i="8" s="1"/>
  <c r="B84" i="6"/>
  <c r="B81" i="8"/>
  <c r="L75" i="8"/>
  <c r="A75" i="8"/>
  <c r="E75" i="8"/>
  <c r="M75" i="8" s="1"/>
  <c r="F75" i="8"/>
  <c r="N75" i="8" s="1"/>
  <c r="G74" i="8"/>
  <c r="O74" i="8"/>
  <c r="AG74" i="8" s="1"/>
  <c r="I84" i="6"/>
  <c r="D76" i="7"/>
  <c r="E76" i="7"/>
  <c r="D76" i="8" s="1"/>
  <c r="D80" i="6"/>
  <c r="F77" i="7"/>
  <c r="G77" i="7"/>
  <c r="H77" i="8" s="1"/>
  <c r="J81" i="6"/>
  <c r="B83" i="7"/>
  <c r="C82" i="7"/>
  <c r="A82" i="7"/>
  <c r="B85" i="6" l="1"/>
  <c r="B82" i="8"/>
  <c r="I77" i="8"/>
  <c r="J77" i="8"/>
  <c r="C85" i="6"/>
  <c r="C82" i="8"/>
  <c r="F76" i="8"/>
  <c r="N76" i="8" s="1"/>
  <c r="L76" i="8"/>
  <c r="A76" i="8"/>
  <c r="E76" i="8"/>
  <c r="M76" i="8" s="1"/>
  <c r="O75" i="8"/>
  <c r="AG75" i="8" s="1"/>
  <c r="G75" i="8"/>
  <c r="I85" i="6"/>
  <c r="B84" i="7"/>
  <c r="C83" i="7"/>
  <c r="A83" i="7"/>
  <c r="D77" i="7"/>
  <c r="E77" i="7"/>
  <c r="D77" i="8" s="1"/>
  <c r="D81" i="6"/>
  <c r="F78" i="7"/>
  <c r="G78" i="7"/>
  <c r="H78" i="8" s="1"/>
  <c r="J82" i="6"/>
  <c r="K77" i="8" l="1"/>
  <c r="C86" i="6"/>
  <c r="C83" i="8"/>
  <c r="I78" i="8"/>
  <c r="K78" i="8" s="1"/>
  <c r="J78" i="8"/>
  <c r="B86" i="6"/>
  <c r="B83" i="8"/>
  <c r="A77" i="8"/>
  <c r="E77" i="8"/>
  <c r="M77" i="8" s="1"/>
  <c r="F77" i="8"/>
  <c r="N77" i="8" s="1"/>
  <c r="L77" i="8"/>
  <c r="O76" i="8"/>
  <c r="AG76" i="8" s="1"/>
  <c r="G76" i="8"/>
  <c r="D78" i="7"/>
  <c r="E78" i="7"/>
  <c r="D78" i="8" s="1"/>
  <c r="D82" i="6"/>
  <c r="A84" i="7"/>
  <c r="B85" i="7"/>
  <c r="C84" i="7"/>
  <c r="F79" i="7"/>
  <c r="G79" i="7"/>
  <c r="H79" i="8" s="1"/>
  <c r="J83" i="6"/>
  <c r="J84" i="6" s="1"/>
  <c r="J85" i="6" s="1"/>
  <c r="I86" i="6"/>
  <c r="C87" i="6" l="1"/>
  <c r="C84" i="8"/>
  <c r="I79" i="8"/>
  <c r="J79" i="8"/>
  <c r="K79" i="8" s="1"/>
  <c r="B87" i="6"/>
  <c r="B84" i="8"/>
  <c r="L78" i="8"/>
  <c r="A78" i="8"/>
  <c r="E78" i="8"/>
  <c r="M78" i="8" s="1"/>
  <c r="F78" i="8"/>
  <c r="N78" i="8" s="1"/>
  <c r="O77" i="8"/>
  <c r="AG77" i="8" s="1"/>
  <c r="G77" i="8"/>
  <c r="F82" i="7"/>
  <c r="G82" i="7"/>
  <c r="H82" i="8" s="1"/>
  <c r="F81" i="7"/>
  <c r="G81" i="7"/>
  <c r="H81" i="8" s="1"/>
  <c r="D79" i="7"/>
  <c r="E79" i="7"/>
  <c r="D79" i="8" s="1"/>
  <c r="D83" i="6"/>
  <c r="D84" i="6" s="1"/>
  <c r="I87" i="6"/>
  <c r="J86" i="6"/>
  <c r="F83" i="7" s="1"/>
  <c r="F80" i="7"/>
  <c r="G80" i="7"/>
  <c r="H80" i="8" s="1"/>
  <c r="C85" i="7"/>
  <c r="B86" i="7"/>
  <c r="A85" i="7"/>
  <c r="J81" i="8" l="1"/>
  <c r="I81" i="8"/>
  <c r="I80" i="8"/>
  <c r="J80" i="8"/>
  <c r="C88" i="6"/>
  <c r="I88" i="6" s="1"/>
  <c r="C85" i="8"/>
  <c r="B88" i="6"/>
  <c r="B85" i="8"/>
  <c r="I82" i="8"/>
  <c r="J82" i="8"/>
  <c r="G78" i="8"/>
  <c r="O78" i="8"/>
  <c r="AG78" i="8" s="1"/>
  <c r="L79" i="8"/>
  <c r="A79" i="8"/>
  <c r="E79" i="8"/>
  <c r="M79" i="8" s="1"/>
  <c r="F79" i="8"/>
  <c r="N79" i="8" s="1"/>
  <c r="G83" i="7"/>
  <c r="H83" i="8" s="1"/>
  <c r="D81" i="7"/>
  <c r="E81" i="7"/>
  <c r="D81" i="8" s="1"/>
  <c r="D85" i="6"/>
  <c r="C86" i="7"/>
  <c r="A86" i="7"/>
  <c r="B87" i="7"/>
  <c r="J87" i="6"/>
  <c r="F84" i="7" s="1"/>
  <c r="G84" i="7"/>
  <c r="H84" i="8" s="1"/>
  <c r="D80" i="7"/>
  <c r="E80" i="7"/>
  <c r="D80" i="8" s="1"/>
  <c r="K81" i="8" l="1"/>
  <c r="B89" i="6"/>
  <c r="B86" i="8"/>
  <c r="K82" i="8"/>
  <c r="J84" i="8"/>
  <c r="I84" i="8"/>
  <c r="I83" i="8"/>
  <c r="J83" i="8"/>
  <c r="C89" i="6"/>
  <c r="C86" i="8"/>
  <c r="K80" i="8"/>
  <c r="G79" i="8"/>
  <c r="O79" i="8"/>
  <c r="AG79" i="8" s="1"/>
  <c r="L81" i="8"/>
  <c r="E81" i="8"/>
  <c r="M81" i="8" s="1"/>
  <c r="A81" i="8"/>
  <c r="F81" i="8"/>
  <c r="N81" i="8" s="1"/>
  <c r="L80" i="8"/>
  <c r="F80" i="8"/>
  <c r="N80" i="8" s="1"/>
  <c r="A80" i="8"/>
  <c r="E80" i="8"/>
  <c r="M80" i="8" s="1"/>
  <c r="D82" i="7"/>
  <c r="E82" i="7"/>
  <c r="D82" i="8" s="1"/>
  <c r="D86" i="6"/>
  <c r="J88" i="6"/>
  <c r="F85" i="7" s="1"/>
  <c r="B88" i="7"/>
  <c r="C87" i="7"/>
  <c r="A87" i="7"/>
  <c r="I89" i="6"/>
  <c r="K84" i="8" l="1"/>
  <c r="K83" i="8"/>
  <c r="B90" i="6"/>
  <c r="B87" i="8"/>
  <c r="C90" i="6"/>
  <c r="I90" i="6" s="1"/>
  <c r="C87" i="8"/>
  <c r="O81" i="8"/>
  <c r="AG81" i="8" s="1"/>
  <c r="G80" i="8"/>
  <c r="F82" i="8"/>
  <c r="N82" i="8" s="1"/>
  <c r="A82" i="8"/>
  <c r="E82" i="8"/>
  <c r="M82" i="8" s="1"/>
  <c r="L82" i="8"/>
  <c r="G81" i="8"/>
  <c r="O80" i="8"/>
  <c r="AG80" i="8" s="1"/>
  <c r="D83" i="7"/>
  <c r="E83" i="7"/>
  <c r="D83" i="8" s="1"/>
  <c r="D87" i="6"/>
  <c r="G85" i="7"/>
  <c r="H85" i="8" s="1"/>
  <c r="C88" i="7"/>
  <c r="A88" i="7"/>
  <c r="B89" i="7"/>
  <c r="J89" i="6"/>
  <c r="F86" i="7" s="1"/>
  <c r="G86" i="7"/>
  <c r="H86" i="8" s="1"/>
  <c r="C91" i="6" l="1"/>
  <c r="C88" i="8"/>
  <c r="B91" i="6"/>
  <c r="B88" i="8"/>
  <c r="I86" i="8"/>
  <c r="J86" i="8"/>
  <c r="I85" i="8"/>
  <c r="J85" i="8"/>
  <c r="O82" i="8"/>
  <c r="AG82" i="8" s="1"/>
  <c r="A83" i="8"/>
  <c r="E83" i="8"/>
  <c r="M83" i="8" s="1"/>
  <c r="F83" i="8"/>
  <c r="N83" i="8" s="1"/>
  <c r="L83" i="8"/>
  <c r="G82" i="8"/>
  <c r="D84" i="7"/>
  <c r="E84" i="7"/>
  <c r="D84" i="8" s="1"/>
  <c r="D88" i="6"/>
  <c r="I91" i="6"/>
  <c r="A89" i="7"/>
  <c r="B90" i="7"/>
  <c r="C89" i="7"/>
  <c r="J90" i="6"/>
  <c r="F87" i="7" s="1"/>
  <c r="K86" i="8" l="1"/>
  <c r="B92" i="6"/>
  <c r="B89" i="8"/>
  <c r="K85" i="8"/>
  <c r="C92" i="6"/>
  <c r="C89" i="8"/>
  <c r="G83" i="8"/>
  <c r="L84" i="8"/>
  <c r="A84" i="8"/>
  <c r="E84" i="8"/>
  <c r="M84" i="8" s="1"/>
  <c r="F84" i="8"/>
  <c r="N84" i="8" s="1"/>
  <c r="O83" i="8"/>
  <c r="AG83" i="8" s="1"/>
  <c r="G87" i="7"/>
  <c r="H87" i="8" s="1"/>
  <c r="D85" i="7"/>
  <c r="E85" i="7"/>
  <c r="D85" i="8" s="1"/>
  <c r="D89" i="6"/>
  <c r="I92" i="6"/>
  <c r="A90" i="7"/>
  <c r="B91" i="7"/>
  <c r="C90" i="7"/>
  <c r="J91" i="6"/>
  <c r="F88" i="7" s="1"/>
  <c r="C93" i="6" l="1"/>
  <c r="C90" i="8"/>
  <c r="J87" i="8"/>
  <c r="I87" i="8"/>
  <c r="K87" i="8" s="1"/>
  <c r="B93" i="6"/>
  <c r="B90" i="8"/>
  <c r="G84" i="8"/>
  <c r="L85" i="8"/>
  <c r="E85" i="8"/>
  <c r="M85" i="8" s="1"/>
  <c r="A85" i="8"/>
  <c r="F85" i="8"/>
  <c r="N85" i="8" s="1"/>
  <c r="O84" i="8"/>
  <c r="AG84" i="8" s="1"/>
  <c r="G88" i="7"/>
  <c r="H88" i="8" s="1"/>
  <c r="D86" i="7"/>
  <c r="E86" i="7"/>
  <c r="D86" i="8" s="1"/>
  <c r="D90" i="6"/>
  <c r="I93" i="6"/>
  <c r="B92" i="7"/>
  <c r="A91" i="7"/>
  <c r="C91" i="7"/>
  <c r="J92" i="6"/>
  <c r="F89" i="7" s="1"/>
  <c r="C94" i="6" l="1"/>
  <c r="C91" i="8"/>
  <c r="B94" i="6"/>
  <c r="B91" i="8"/>
  <c r="I88" i="8"/>
  <c r="J88" i="8"/>
  <c r="F86" i="8"/>
  <c r="N86" i="8" s="1"/>
  <c r="L86" i="8"/>
  <c r="A86" i="8"/>
  <c r="E86" i="8"/>
  <c r="M86" i="8" s="1"/>
  <c r="G85" i="8"/>
  <c r="O85" i="8"/>
  <c r="AG85" i="8" s="1"/>
  <c r="G89" i="7"/>
  <c r="H89" i="8" s="1"/>
  <c r="D87" i="7"/>
  <c r="E87" i="7"/>
  <c r="D87" i="8" s="1"/>
  <c r="D91" i="6"/>
  <c r="C92" i="7"/>
  <c r="A92" i="7"/>
  <c r="I94" i="6"/>
  <c r="J93" i="6"/>
  <c r="F90" i="7" s="1"/>
  <c r="K88" i="8" l="1"/>
  <c r="B95" i="6"/>
  <c r="B92" i="8"/>
  <c r="I89" i="8"/>
  <c r="J89" i="8"/>
  <c r="C95" i="6"/>
  <c r="C92" i="8"/>
  <c r="G86" i="8"/>
  <c r="A87" i="8"/>
  <c r="E87" i="8"/>
  <c r="M87" i="8" s="1"/>
  <c r="F87" i="8"/>
  <c r="N87" i="8" s="1"/>
  <c r="L87" i="8"/>
  <c r="O86" i="8"/>
  <c r="AG86" i="8" s="1"/>
  <c r="G90" i="7"/>
  <c r="H90" i="8" s="1"/>
  <c r="D88" i="7"/>
  <c r="E88" i="7"/>
  <c r="D88" i="8" s="1"/>
  <c r="D92" i="6"/>
  <c r="J94" i="6"/>
  <c r="F91" i="7" s="1"/>
  <c r="I95" i="6"/>
  <c r="K89" i="8" l="1"/>
  <c r="I90" i="8"/>
  <c r="J90" i="8"/>
  <c r="L88" i="8"/>
  <c r="A88" i="8"/>
  <c r="E88" i="8"/>
  <c r="M88" i="8" s="1"/>
  <c r="F88" i="8"/>
  <c r="N88" i="8" s="1"/>
  <c r="G87" i="8"/>
  <c r="O87" i="8"/>
  <c r="AG87" i="8" s="1"/>
  <c r="D89" i="7"/>
  <c r="E89" i="7"/>
  <c r="D89" i="8" s="1"/>
  <c r="D93" i="6"/>
  <c r="G91" i="7"/>
  <c r="H91" i="8" s="1"/>
  <c r="J95" i="6"/>
  <c r="F92" i="7" s="1"/>
  <c r="K90" i="8" l="1"/>
  <c r="I91" i="8"/>
  <c r="J91" i="8"/>
  <c r="L89" i="8"/>
  <c r="E89" i="8"/>
  <c r="M89" i="8" s="1"/>
  <c r="A89" i="8"/>
  <c r="F89" i="8"/>
  <c r="N89" i="8" s="1"/>
  <c r="O88" i="8"/>
  <c r="AG88" i="8" s="1"/>
  <c r="G88" i="8"/>
  <c r="D90" i="7"/>
  <c r="E90" i="7"/>
  <c r="D90" i="8" s="1"/>
  <c r="D94" i="6"/>
  <c r="G92" i="7"/>
  <c r="H92" i="8" s="1"/>
  <c r="I92" i="8" l="1"/>
  <c r="I93" i="8" s="1"/>
  <c r="J92" i="8"/>
  <c r="J93" i="8" s="1"/>
  <c r="H93" i="8"/>
  <c r="K91" i="8"/>
  <c r="F90" i="8"/>
  <c r="N90" i="8" s="1"/>
  <c r="A90" i="8"/>
  <c r="E90" i="8"/>
  <c r="M90" i="8" s="1"/>
  <c r="L90" i="8"/>
  <c r="G89" i="8"/>
  <c r="O89" i="8"/>
  <c r="AG89" i="8" s="1"/>
  <c r="D91" i="7"/>
  <c r="E91" i="7"/>
  <c r="D91" i="8" s="1"/>
  <c r="D95" i="6"/>
  <c r="K92" i="8" l="1"/>
  <c r="K93" i="8" s="1"/>
  <c r="G90" i="8"/>
  <c r="O90" i="8"/>
  <c r="AG90" i="8" s="1"/>
  <c r="A91" i="8"/>
  <c r="E91" i="8"/>
  <c r="M91" i="8" s="1"/>
  <c r="F91" i="8"/>
  <c r="N91" i="8" s="1"/>
  <c r="L91" i="8"/>
  <c r="D92" i="7"/>
  <c r="E92" i="7"/>
  <c r="D92" i="8" s="1"/>
  <c r="D93" i="8" s="1"/>
  <c r="G91" i="8" l="1"/>
  <c r="O91" i="8"/>
  <c r="AG91" i="8" s="1"/>
  <c r="L92" i="8"/>
  <c r="L93" i="8" s="1"/>
  <c r="A92" i="8"/>
  <c r="E92" i="8"/>
  <c r="F92" i="8"/>
  <c r="M92" i="8" l="1"/>
  <c r="M93" i="8" s="1"/>
  <c r="E93" i="8"/>
  <c r="N92" i="8"/>
  <c r="N93" i="8" s="1"/>
  <c r="F93" i="8"/>
  <c r="G92" i="8"/>
  <c r="G93" i="8" s="1"/>
  <c r="O92" i="8" l="1"/>
  <c r="AG92" i="8" s="1"/>
  <c r="AG93" i="8" s="1"/>
  <c r="G95" i="8"/>
  <c r="O93" i="8" l="1"/>
</calcChain>
</file>

<file path=xl/comments1.xml><?xml version="1.0" encoding="utf-8"?>
<comments xmlns="http://schemas.openxmlformats.org/spreadsheetml/2006/main">
  <authors>
    <author>User</author>
  </authors>
  <commentList>
    <comment ref="H35" authorId="0">
      <text>
        <r>
          <rPr>
            <b/>
            <sz val="9"/>
            <color indexed="81"/>
            <rFont val="Tahoma"/>
            <family val="2"/>
          </rPr>
          <t>User:</t>
        </r>
        <r>
          <rPr>
            <sz val="9"/>
            <color indexed="81"/>
            <rFont val="Tahoma"/>
            <family val="2"/>
          </rPr>
          <t xml:space="preserve">
HELPING POINT अनुसार चयन करे</t>
        </r>
      </text>
    </comment>
    <comment ref="I35" authorId="0">
      <text>
        <r>
          <rPr>
            <b/>
            <sz val="9"/>
            <color indexed="81"/>
            <rFont val="Tahoma"/>
            <family val="2"/>
          </rPr>
          <t>User:</t>
        </r>
        <r>
          <rPr>
            <sz val="9"/>
            <color indexed="81"/>
            <rFont val="Tahoma"/>
            <family val="2"/>
          </rPr>
          <t xml:space="preserve">
HELPING POINT अनुसार चयन करें</t>
        </r>
      </text>
    </comment>
  </commentList>
</comments>
</file>

<file path=xl/comments2.xml><?xml version="1.0" encoding="utf-8"?>
<comments xmlns="http://schemas.openxmlformats.org/spreadsheetml/2006/main">
  <authors>
    <author>User</author>
  </authors>
  <commentList>
    <comment ref="B5" authorId="0">
      <text>
        <r>
          <rPr>
            <b/>
            <sz val="9"/>
            <color indexed="81"/>
            <rFont val="Tahoma"/>
            <family val="2"/>
          </rPr>
          <t>User:</t>
        </r>
        <r>
          <rPr>
            <sz val="9"/>
            <color indexed="81"/>
            <rFont val="Tahoma"/>
            <family val="2"/>
          </rPr>
          <t xml:space="preserve">
MASTER SHEET में आदेश संबन्धित विवरण भरें</t>
        </r>
      </text>
    </comment>
    <comment ref="L11" authorId="0">
      <text>
        <r>
          <rPr>
            <b/>
            <sz val="9"/>
            <color indexed="81"/>
            <rFont val="Tahoma"/>
            <family val="2"/>
          </rPr>
          <t>User:</t>
        </r>
        <r>
          <rPr>
            <sz val="9"/>
            <color indexed="81"/>
            <rFont val="Tahoma"/>
            <family val="2"/>
          </rPr>
          <t xml:space="preserve">
HELPING POINT अनुसार चयन करे</t>
        </r>
      </text>
    </comment>
    <comment ref="M11" authorId="0">
      <text>
        <r>
          <rPr>
            <b/>
            <sz val="9"/>
            <color indexed="81"/>
            <rFont val="Tahoma"/>
            <family val="2"/>
          </rPr>
          <t>User:</t>
        </r>
        <r>
          <rPr>
            <sz val="9"/>
            <color indexed="81"/>
            <rFont val="Tahoma"/>
            <family val="2"/>
          </rPr>
          <t xml:space="preserve">
HELPING POINT अनुसार चयन करें</t>
        </r>
      </text>
    </comment>
  </commentList>
</comments>
</file>

<file path=xl/comments3.xml><?xml version="1.0" encoding="utf-8"?>
<comments xmlns="http://schemas.openxmlformats.org/spreadsheetml/2006/main">
  <authors>
    <author>User</author>
  </authors>
  <commentList>
    <comment ref="H8" authorId="0">
      <text>
        <r>
          <rPr>
            <b/>
            <sz val="9"/>
            <color indexed="81"/>
            <rFont val="Tahoma"/>
            <family val="2"/>
          </rPr>
          <t>User:</t>
        </r>
        <r>
          <rPr>
            <sz val="9"/>
            <color indexed="81"/>
            <rFont val="Tahoma"/>
            <family val="2"/>
          </rPr>
          <t xml:space="preserve">
MASTER शीट से अपडेट करे</t>
        </r>
      </text>
    </comment>
    <comment ref="J8" authorId="0">
      <text>
        <r>
          <rPr>
            <b/>
            <sz val="9"/>
            <color indexed="81"/>
            <rFont val="Tahoma"/>
            <family val="2"/>
          </rPr>
          <t>User:</t>
        </r>
        <r>
          <rPr>
            <sz val="9"/>
            <color indexed="81"/>
            <rFont val="Tahoma"/>
            <family val="2"/>
          </rPr>
          <t xml:space="preserve">
जिस माह तक ARREAR बनाना है उसकी अंतिम तिथि भरे</t>
        </r>
      </text>
    </comment>
    <comment ref="P10" authorId="0">
      <text>
        <r>
          <rPr>
            <b/>
            <sz val="9"/>
            <color indexed="81"/>
            <rFont val="Tahoma"/>
            <family val="2"/>
          </rPr>
          <t>User:</t>
        </r>
        <r>
          <rPr>
            <sz val="9"/>
            <color indexed="81"/>
            <rFont val="Tahoma"/>
            <family val="2"/>
          </rPr>
          <t xml:space="preserve">
</t>
        </r>
      </text>
    </comment>
    <comment ref="E11" authorId="0">
      <text>
        <r>
          <rPr>
            <b/>
            <sz val="9"/>
            <color indexed="81"/>
            <rFont val="Tahoma"/>
            <family val="2"/>
          </rPr>
          <t>User:</t>
        </r>
        <r>
          <rPr>
            <sz val="9"/>
            <color indexed="81"/>
            <rFont val="Tahoma"/>
            <family val="2"/>
          </rPr>
          <t xml:space="preserve">
यदि किसी माह का मूल वेतन EDIT करना है तो संबन्धित माह के सामने इस कॉलम में अंकित करें</t>
        </r>
      </text>
    </comment>
    <comment ref="K11" authorId="0">
      <text>
        <r>
          <rPr>
            <b/>
            <sz val="9"/>
            <color indexed="81"/>
            <rFont val="Tahoma"/>
            <family val="2"/>
          </rPr>
          <t>User:</t>
        </r>
        <r>
          <rPr>
            <sz val="9"/>
            <color indexed="81"/>
            <rFont val="Tahoma"/>
            <family val="2"/>
          </rPr>
          <t xml:space="preserve">
यदि किसी माह का मूल वेतन EDIT करना है तो संबन्धित माह के सामने इस कॉलम में अंकित करें</t>
        </r>
      </text>
    </comment>
  </commentList>
</comments>
</file>

<file path=xl/sharedStrings.xml><?xml version="1.0" encoding="utf-8"?>
<sst xmlns="http://schemas.openxmlformats.org/spreadsheetml/2006/main" count="487" uniqueCount="324">
  <si>
    <t>dk;kZy; vkns'k</t>
  </si>
  <si>
    <t>Øekad%&amp;</t>
  </si>
  <si>
    <t>fnukad%&amp;</t>
  </si>
  <si>
    <t>Ikzfrfyih %&amp;</t>
  </si>
  <si>
    <r>
      <rPr>
        <b/>
        <sz val="10"/>
        <rFont val="Arial"/>
        <family val="2"/>
      </rPr>
      <t xml:space="preserve">Existing
</t>
    </r>
    <r>
      <rPr>
        <b/>
        <sz val="10"/>
        <rFont val="Arial"/>
        <family val="2"/>
      </rPr>
      <t>R.P.Band</t>
    </r>
  </si>
  <si>
    <r>
      <rPr>
        <b/>
        <sz val="11"/>
        <rFont val="Arial"/>
        <family val="2"/>
      </rPr>
      <t>Exist.G.P.</t>
    </r>
  </si>
  <si>
    <r>
      <rPr>
        <b/>
        <sz val="10"/>
        <rFont val="Arial"/>
        <family val="2"/>
      </rPr>
      <t>Exist.G.P.No</t>
    </r>
  </si>
  <si>
    <r>
      <rPr>
        <b/>
        <sz val="11"/>
        <rFont val="Arial"/>
        <family val="2"/>
      </rPr>
      <t>9A</t>
    </r>
  </si>
  <si>
    <r>
      <rPr>
        <b/>
        <sz val="11"/>
        <rFont val="Arial"/>
        <family val="2"/>
      </rPr>
      <t>9B</t>
    </r>
  </si>
  <si>
    <r>
      <rPr>
        <b/>
        <sz val="11"/>
        <rFont val="Arial"/>
        <family val="2"/>
      </rPr>
      <t>10A</t>
    </r>
  </si>
  <si>
    <r>
      <rPr>
        <b/>
        <sz val="11"/>
        <rFont val="Arial"/>
        <family val="2"/>
      </rPr>
      <t>23A</t>
    </r>
  </si>
  <si>
    <r>
      <rPr>
        <b/>
        <sz val="10"/>
        <rFont val="Arial"/>
        <family val="2"/>
      </rPr>
      <t>Levels →</t>
    </r>
  </si>
  <si>
    <r>
      <rPr>
        <b/>
        <sz val="10"/>
        <rFont val="Arial"/>
        <family val="2"/>
      </rPr>
      <t>Cell No. ↓</t>
    </r>
  </si>
  <si>
    <t>fnukad</t>
  </si>
  <si>
    <t>dzl</t>
  </si>
  <si>
    <t>uke dkfeZd</t>
  </si>
  <si>
    <t>in</t>
  </si>
  <si>
    <t>is ysoy</t>
  </si>
  <si>
    <t>ewy osru</t>
  </si>
  <si>
    <t>vkxkeh osruo`f) frfFk</t>
  </si>
  <si>
    <t>Existing
R.P.Band</t>
  </si>
  <si>
    <t>PB-1
5200-20200</t>
  </si>
  <si>
    <t>PB-2
9300-34800</t>
  </si>
  <si>
    <t>PB-3
15600-39100</t>
  </si>
  <si>
    <t>PB-4
37400-67000</t>
  </si>
  <si>
    <t>Exist.G.P.</t>
  </si>
  <si>
    <t>Exist.G.P.No</t>
  </si>
  <si>
    <t>9A</t>
  </si>
  <si>
    <t>9B</t>
  </si>
  <si>
    <t>10A</t>
  </si>
  <si>
    <t>23A</t>
  </si>
  <si>
    <t>Levels →</t>
  </si>
  <si>
    <t>L_1</t>
  </si>
  <si>
    <t>L_2</t>
  </si>
  <si>
    <t>L_3</t>
  </si>
  <si>
    <t>L_4</t>
  </si>
  <si>
    <t>L_5</t>
  </si>
  <si>
    <t>L_6</t>
  </si>
  <si>
    <t>L_7</t>
  </si>
  <si>
    <t>L_8</t>
  </si>
  <si>
    <t>L_9</t>
  </si>
  <si>
    <t>L_10</t>
  </si>
  <si>
    <t>L_11</t>
  </si>
  <si>
    <t>L_12</t>
  </si>
  <si>
    <t>L_13</t>
  </si>
  <si>
    <t>L_14</t>
  </si>
  <si>
    <t>L_15</t>
  </si>
  <si>
    <t>L_16</t>
  </si>
  <si>
    <t>L_17</t>
  </si>
  <si>
    <t>L_18</t>
  </si>
  <si>
    <t>L_19</t>
  </si>
  <si>
    <t>L_20</t>
  </si>
  <si>
    <t>L_21</t>
  </si>
  <si>
    <t>L_22</t>
  </si>
  <si>
    <t>L_23</t>
  </si>
  <si>
    <t>L_24</t>
  </si>
  <si>
    <t>dzekad</t>
  </si>
  <si>
    <r>
      <t>2-</t>
    </r>
    <r>
      <rPr>
        <sz val="12"/>
        <color theme="1"/>
        <rFont val="Times New Roman"/>
        <family val="1"/>
      </rPr>
      <t> </t>
    </r>
    <r>
      <rPr>
        <sz val="12"/>
        <color theme="1"/>
        <rFont val="DevLys 010"/>
      </rPr>
      <t>Jheku~ midks"kkf/kdkjh egksn;-----------</t>
    </r>
  </si>
  <si>
    <r>
      <t>3-</t>
    </r>
    <r>
      <rPr>
        <sz val="12"/>
        <color theme="1"/>
        <rFont val="Times New Roman"/>
        <family val="1"/>
      </rPr>
      <t> </t>
    </r>
    <r>
      <rPr>
        <sz val="12"/>
        <color theme="1"/>
        <rFont val="Kruti Dev 010"/>
      </rPr>
      <t>lacaf/kr dkfeZd Jh ------------------------</t>
    </r>
  </si>
  <si>
    <r>
      <t>4-</t>
    </r>
    <r>
      <rPr>
        <sz val="12"/>
        <color theme="1"/>
        <rFont val="Times New Roman"/>
        <family val="1"/>
      </rPr>
      <t xml:space="preserve"> </t>
    </r>
    <r>
      <rPr>
        <sz val="12"/>
        <color theme="1"/>
        <rFont val="Kruti Dev 010"/>
      </rPr>
      <t>futh iaftdk lacaf/kr Jh ----------------------</t>
    </r>
  </si>
  <si>
    <r>
      <t>5-</t>
    </r>
    <r>
      <rPr>
        <sz val="12"/>
        <color theme="1"/>
        <rFont val="Times New Roman"/>
        <family val="1"/>
      </rPr>
      <t xml:space="preserve"> </t>
    </r>
    <r>
      <rPr>
        <sz val="12"/>
        <color theme="1"/>
        <rFont val="Kruti Dev 010"/>
      </rPr>
      <t>ys[kk 'kk[kk dk;kZy; gktk A</t>
    </r>
  </si>
  <si>
    <t>प्रथम एसीपी</t>
  </si>
  <si>
    <t xml:space="preserve">द्वितीय एसीपी </t>
  </si>
  <si>
    <t xml:space="preserve">तृतीय एसीपी </t>
  </si>
  <si>
    <t>कार्यालय मोहर के लिए</t>
  </si>
  <si>
    <t xml:space="preserve">सुधार हेतु सुझाव  आमंत्रित  है </t>
  </si>
  <si>
    <t>joshihansraj72@gmail.com</t>
  </si>
  <si>
    <t>6-jf{kr iaftdk A</t>
  </si>
  <si>
    <t>Disclaimer: - All care has been taken to keep the information upto date and correct and is for educational purpose only. You are encouraged to consult your Accountant or Advisor before taking any decesion based on this calculator</t>
  </si>
  <si>
    <t>Programmed by</t>
  </si>
  <si>
    <t>dk;kZy; iz/kkukpk;Z jktdh; mPp ek/;fed fo|ky; 13 Mhvks,y Jhxaxkuxj</t>
  </si>
  <si>
    <t>dk;kZy; uke fy[ksa</t>
  </si>
  <si>
    <t xml:space="preserve">13Mhvks,y Jhxaxkuxj </t>
  </si>
  <si>
    <t xml:space="preserve">jktdh; mPp ek/;fed fo|ky; </t>
  </si>
  <si>
    <t xml:space="preserve">iz/kkukpk;Z </t>
  </si>
  <si>
    <t>tUe frfFk</t>
  </si>
  <si>
    <t>LFkk;hdj.k i'pkr osru fu;ru</t>
  </si>
  <si>
    <t>is cS.M</t>
  </si>
  <si>
    <t>PB_1
5200_20200</t>
  </si>
  <si>
    <t>PB_2
9300_34800</t>
  </si>
  <si>
    <t>PB_3
15600_39100</t>
  </si>
  <si>
    <t>PB_4
37400_67000</t>
  </si>
  <si>
    <t>dk;Zxzg.k frfFk</t>
  </si>
  <si>
    <t>Lakhan lal</t>
  </si>
  <si>
    <t>Sr. Teacher</t>
  </si>
  <si>
    <t>1</t>
  </si>
  <si>
    <t>2</t>
  </si>
  <si>
    <t>3</t>
  </si>
  <si>
    <t>4</t>
  </si>
  <si>
    <t>5</t>
  </si>
  <si>
    <t>6</t>
  </si>
  <si>
    <t>8</t>
  </si>
  <si>
    <t>9</t>
  </si>
  <si>
    <t>10</t>
  </si>
  <si>
    <t>11</t>
  </si>
  <si>
    <t>12</t>
  </si>
  <si>
    <t>Jheku la;qDr funs'kd ----------------------------------------------------- ds vkns'k Øekad%&amp; --------------------------- fnukad%&amp; ------------------------ dh vuqikyuk esa bl fo|ky; esa dk;Zjr fuEukafdr dkfeZd dk ofj"B v/;kid ds in ij dkWye 5 esa vafdr dk;Zxzg.k djus dh fnukad ls nks o"kZ dh ifjoh{kk/khu izf'k{k.kkFkhZ dh vof/k dks larks"kizn :i ls iw.kZ fd;s tkus ij jktLFkku flfoy lsok ¼iqujhf{kr osrueku½ fu;e 2017 ,oa foŸk foHkkx ds uksfVfQds'ku fnukad 30-10-2017 ds fcUnq la[;k 13¼2½ ds izko/kkukuqlkj dkWye 6 esa vafdr LFkk;hdj.k frfFk ,oa fu;fer osru Ja[kyk izkfIr fnukad ls fuEukuqlkj osru fu;ru fd;k tkrk gS &amp;</t>
  </si>
  <si>
    <t>white सेल में सूचना भरें</t>
  </si>
  <si>
    <r>
      <t xml:space="preserve">कॉलम </t>
    </r>
    <r>
      <rPr>
        <sz val="12"/>
        <color theme="1"/>
        <rFont val="DevLys 010"/>
      </rPr>
      <t>10</t>
    </r>
    <r>
      <rPr>
        <sz val="9"/>
        <color theme="1"/>
        <rFont val="DevLys 010"/>
      </rPr>
      <t xml:space="preserve"> में कार्मिक की पे लेवल चुने </t>
    </r>
  </si>
  <si>
    <t>LFkk;hdj.k frfFk@a fu;fer osru Ja[kyk izkfIr frfFk</t>
  </si>
  <si>
    <r>
      <t>1-</t>
    </r>
    <r>
      <rPr>
        <sz val="12"/>
        <color theme="1"/>
        <rFont val="Times New Roman"/>
        <family val="1"/>
      </rPr>
      <t> </t>
    </r>
    <r>
      <rPr>
        <sz val="12"/>
        <color theme="1"/>
        <rFont val="Kruti Dev 010"/>
      </rPr>
      <t>Jheku la;qDr funs'kd  ----------------</t>
    </r>
  </si>
  <si>
    <r>
      <t xml:space="preserve">tks dkfeZd iwoZ esa lsok esa ugha jgs gS lsok esa u, fu;qDr gq, gS oks bl 'khV dk iz;ksx djsa ;fn iwoZ esa lsok esa jgs gS rks </t>
    </r>
    <r>
      <rPr>
        <sz val="11"/>
        <color theme="1"/>
        <rFont val="Times New Roman"/>
        <family val="1"/>
      </rPr>
      <t xml:space="preserve">fixation on confirm _in service sheet </t>
    </r>
    <r>
      <rPr>
        <sz val="11"/>
        <color theme="1"/>
        <rFont val="DevLys 010"/>
      </rPr>
      <t>dke esa ysos</t>
    </r>
  </si>
  <si>
    <t>MONTHS</t>
  </si>
  <si>
    <t>Name Of Employee</t>
  </si>
  <si>
    <t xml:space="preserve">ARE YOU "NPS" Employee </t>
  </si>
  <si>
    <t>JAN</t>
  </si>
  <si>
    <t>FEB</t>
  </si>
  <si>
    <t>Post</t>
  </si>
  <si>
    <t>MAR</t>
  </si>
  <si>
    <t>APR</t>
  </si>
  <si>
    <t>Type Of Areear</t>
  </si>
  <si>
    <t>From</t>
  </si>
  <si>
    <t>to</t>
  </si>
  <si>
    <t>TOTAL MONTHS</t>
  </si>
  <si>
    <t>MAY</t>
  </si>
  <si>
    <t>JUN</t>
  </si>
  <si>
    <t>SN</t>
  </si>
  <si>
    <t>JUL</t>
  </si>
  <si>
    <t>Month</t>
  </si>
  <si>
    <t>Basic</t>
  </si>
  <si>
    <t>DA Rate</t>
  </si>
  <si>
    <t>HRA Rate</t>
  </si>
  <si>
    <t>AUG</t>
  </si>
  <si>
    <t>SEP</t>
  </si>
  <si>
    <t>OCT</t>
  </si>
  <si>
    <t>NOV</t>
  </si>
  <si>
    <t>DEC</t>
  </si>
  <si>
    <t>MASTER</t>
  </si>
  <si>
    <t>FROM</t>
  </si>
  <si>
    <t>TO</t>
  </si>
  <si>
    <t>NAME</t>
  </si>
  <si>
    <t>POST</t>
  </si>
  <si>
    <t>S.No.</t>
  </si>
  <si>
    <t>To Be Drawn</t>
  </si>
  <si>
    <t>Alread Drawn</t>
  </si>
  <si>
    <t>Difference</t>
  </si>
  <si>
    <t>Deductions</t>
  </si>
  <si>
    <t>Total Deductions</t>
  </si>
  <si>
    <t>DA</t>
  </si>
  <si>
    <t>HRA</t>
  </si>
  <si>
    <t>Total</t>
  </si>
  <si>
    <t>NPS</t>
  </si>
  <si>
    <t>GPF</t>
  </si>
  <si>
    <t>SI</t>
  </si>
  <si>
    <t>CM CORONA RELIEF FUND</t>
  </si>
  <si>
    <t>Due</t>
  </si>
  <si>
    <t>Drawn</t>
  </si>
  <si>
    <t>Diff</t>
  </si>
  <si>
    <t>TOTAL</t>
  </si>
  <si>
    <t>DAYS</t>
  </si>
  <si>
    <t>EOMONTH</t>
  </si>
  <si>
    <t>TOTAL DAYS OF STARTING MONTH</t>
  </si>
  <si>
    <t>DUE</t>
  </si>
  <si>
    <t>DRWAN</t>
  </si>
  <si>
    <t>MONTH</t>
  </si>
  <si>
    <t>LP_1</t>
  </si>
  <si>
    <t>LP_2</t>
  </si>
  <si>
    <t>LP_3</t>
  </si>
  <si>
    <t>LP_4</t>
  </si>
  <si>
    <t>LP_5</t>
  </si>
  <si>
    <t>LP_6</t>
  </si>
  <si>
    <t>LP_7</t>
  </si>
  <si>
    <t>LP_8</t>
  </si>
  <si>
    <t>LP_9</t>
  </si>
  <si>
    <t>LP_10</t>
  </si>
  <si>
    <t>LP_11</t>
  </si>
  <si>
    <t>LP_12</t>
  </si>
  <si>
    <t>LP_13</t>
  </si>
  <si>
    <t>LP_14</t>
  </si>
  <si>
    <t>LP_15</t>
  </si>
  <si>
    <t>LP_16</t>
  </si>
  <si>
    <t>LP_17</t>
  </si>
  <si>
    <t>LP_18</t>
  </si>
  <si>
    <t>LP_19</t>
  </si>
  <si>
    <t>LP_20</t>
  </si>
  <si>
    <t>LP_21</t>
  </si>
  <si>
    <t>LP_22</t>
  </si>
  <si>
    <t>LP_23</t>
  </si>
  <si>
    <t>LP_24</t>
  </si>
  <si>
    <t>DATE</t>
  </si>
  <si>
    <t>आगामी वेतनवृद्धि</t>
  </si>
  <si>
    <t>Net Amount</t>
  </si>
  <si>
    <t>omitted bill no</t>
  </si>
  <si>
    <t>TV no/date</t>
  </si>
  <si>
    <t>कार्यालय</t>
  </si>
  <si>
    <t>NAME EMPLOYEE</t>
  </si>
  <si>
    <t>SR.TEACHER</t>
  </si>
  <si>
    <t>आदेशकर्ता कार्यालय</t>
  </si>
  <si>
    <t>आदेश क्रमांक</t>
  </si>
  <si>
    <t>आदेशकर्ता अधिकारी</t>
  </si>
  <si>
    <t>श्रीमान संयुक्त निदेशक</t>
  </si>
  <si>
    <t xml:space="preserve">संयुक्त निदेशक स्कूल शिक्षा ,बीकानेर संभाग,बीकानेर </t>
  </si>
  <si>
    <t>सनि/स्कू.शि. /2020/स्थायीकरण/1632 दिनांक 15.10.2020</t>
  </si>
  <si>
    <t>ACP</t>
  </si>
  <si>
    <t>पदस्थापन स्थान</t>
  </si>
  <si>
    <t>GSSS 13DOL</t>
  </si>
  <si>
    <t xml:space="preserve"> इस विद्यालय में कार्यरत निम्नांकित कार्मिक का कॉलम 3 में अंकित पद पर कॉलम 5 में अंकित कार्यग्रहण करने की दिनांक से दो वर्ष की परिवीक्षाधीन प्रशिक्षणार्थी की अवधि को संतोषप्रद रूप से पूर्ण किये जाने पर राजस्थान सिविल सेवा (पुनरीक्षित वेतनमान) नियम 2017 एवं वित्त विभाग के नोटिफिकेशन दिनांक 30.10.2017 के बिन्दु संख्या 13(2) के प्रावधानानुसार कॉलम 6 में अंकित स्थायीकरण तिथि एवं नियमित वेतन श्रंखला प्राप्ति दिनांक से निम्नानुसार वेतन नियतन किया जाता है-</t>
  </si>
  <si>
    <t>CONFIRMATION ORDER</t>
  </si>
  <si>
    <t xml:space="preserve">नाम कार्मिक </t>
  </si>
  <si>
    <t xml:space="preserve">पद </t>
  </si>
  <si>
    <t>पे लेवल</t>
  </si>
  <si>
    <t>मूल वेतन</t>
  </si>
  <si>
    <t>दिनांक</t>
  </si>
  <si>
    <t>पे बैण्ड</t>
  </si>
  <si>
    <t>वेतन नियतन का कारण</t>
  </si>
  <si>
    <t xml:space="preserve">CONFIRMATION </t>
  </si>
  <si>
    <t xml:space="preserve">ACP </t>
  </si>
  <si>
    <t xml:space="preserve">PROMOTION </t>
  </si>
  <si>
    <t>राजस्थान सरकार वित्त विभाग के आदेशांक F15(1)/FD@Rules/2017 जयपुर दिनांक 30.10.2017 के अनुसार में राजस्थान सिविल सेवा (पुनरीक्षित वेतनमान) नियम, 2017 द्वितीय संषोधन के नियम 14 एवं 15 के तहत  इस विद्यालय के निम्नांकित कार्मिक का उनके नाम के सम्मुख अंकित तिथि से  ए0 सी0 पी0 ( Assured Career Progression ) की स्वीकृति प्रदान किये जाने के फलस्वरूप निम्नानुसार वेतन निर्धारण किया जाता हैः-</t>
  </si>
  <si>
    <t>यदि एसीपी पर वेतन नियतन किया जा रहा है तो,एसीपी का प्रकार</t>
  </si>
  <si>
    <t>पदनाम</t>
  </si>
  <si>
    <t>PRINCIPAL</t>
  </si>
  <si>
    <t>LECTURER</t>
  </si>
  <si>
    <t>TEACHER</t>
  </si>
  <si>
    <t>PRABODHAK</t>
  </si>
  <si>
    <t>PTI</t>
  </si>
  <si>
    <t>LIBRARIAN</t>
  </si>
  <si>
    <t>SENIOR ASSISTANT</t>
  </si>
  <si>
    <t>JUNIOR ASSISTANT</t>
  </si>
  <si>
    <t>HEADMASTER</t>
  </si>
  <si>
    <t xml:space="preserve">प्रधानाचार्य </t>
  </si>
  <si>
    <t xml:space="preserve">राजकीय उच्च माध्यमिक विद्यालय </t>
  </si>
  <si>
    <t>Emp ID</t>
  </si>
  <si>
    <t>RJGA99999999999</t>
  </si>
  <si>
    <t>I.TAX</t>
  </si>
  <si>
    <t>BASIC</t>
  </si>
  <si>
    <t>EDIT BASIC</t>
  </si>
  <si>
    <t>ROUND($D$9/$H$4*$C$6,0)</t>
  </si>
  <si>
    <t xml:space="preserve">HOW TO USE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</si>
  <si>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</si>
  <si>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</si>
  <si>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</si>
  <si>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</si>
  <si>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राजस्थान राज्य कर्मचारियों के  लिए PAY FIXATION AND ARREAR   बाबत इस UTILITY का प्रयोग किया जा सकता है । FILE को SAVE करने के लिए अपनी सुविधा से नाम देकर SAVE AS से Excel Macro- Enable Workbook के रूप में Save करें। file को open करते समय Enable Macro करें।यह excel utility केवल मात्र राज्य कार्मिको के PAY FIXATION AND ARREAR 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आयकर विभाग के नियम मान्य होंगे  किसी प्रकार की तकनीकी कमी पाए जाने पर नीचे दिये गए EMAIL द्वारा अवगत कराने का श्रम करावे।(PLEASE USE LATEST VERSION OF THAT IS  OFFICE 2010 AND ABOVE FOR BEST RESULT)</t>
  </si>
  <si>
    <t>1. MASTER :-</t>
  </si>
  <si>
    <t>2. DATA ENTRY SHEET</t>
  </si>
  <si>
    <t>3. ORDER  sheet</t>
  </si>
  <si>
    <t xml:space="preserve">4. ARREAR SHEET </t>
  </si>
  <si>
    <t>स्थाईकरण /एसीपी/पदोन्नति आदेश संबन्धित विवरण</t>
  </si>
  <si>
    <t>वेतन नियतन से पूर्व वेतन का प्रकार</t>
  </si>
  <si>
    <t>पदोन्नति से पूर्व पद</t>
  </si>
  <si>
    <t>पदोन्नति पर कार्यालय आदेश हेतु  विवरण</t>
  </si>
  <si>
    <t>Basic Pay</t>
  </si>
  <si>
    <t>Edit Basic Pay</t>
  </si>
  <si>
    <t>स्थाईकरण हेतु</t>
  </si>
  <si>
    <t>1MASTER SHEET मे डाटा भरे</t>
  </si>
  <si>
    <t>2. यदि आप FIX PAY प्राप्त कर रहे है तो कॉलम 11 मे आपके पद का PAY LEVAL और कॉलम 12 में न्यूनतम वेतन का चयन करे।</t>
  </si>
  <si>
    <t>2. यदि आप पुराने पद का वेतन  प्राप्त कर रहे है तो कॉलम 11 मे आपके नवीन पद का PAY LEVAL और कॉलम 12 में आपके विद्यमान वेतन के समान या ठीक ऊपर वेतन का चयन करे।</t>
  </si>
  <si>
    <t>एसीपी हेतु</t>
  </si>
  <si>
    <t xml:space="preserve">2.  कॉलम 11 मे आपका ACP उपरांत नवीन PAY LEVAL और कॉलम 12 में विद्यमान वेतन लेवल के वेतन मे एक वेतन वृद्धि जोड़कर जो राशि आए उसके समान या ठीक ऊपर वेतन का चयन करे। </t>
  </si>
  <si>
    <t>1 MASTER SHEET मे डाटा भरे</t>
  </si>
  <si>
    <t>पदोन्नति हेतु</t>
  </si>
  <si>
    <t xml:space="preserve">2. यदि आपको पदोन्नति से पूर्व उस पद के लिए ACP का लाभ मिल चुका है तो  कॉलम 11 मे आपका  PAY LEVAL और कॉलम 12 में विद्यमान वेतन लेवल के वेतन के समान या ठीक ऊपर वेतन का चयन करे। </t>
  </si>
  <si>
    <t xml:space="preserve">3.  यदि आपको पदोन्नति से पूर्व उस पद के लिए ACP का लाभ नहीं मिला  है तो कॉलम 11 मे आपका नवीन पद का  PAY LEVAL और कॉलम 12 में विद्यमान वेतन लेवल के वेतन मे एक वेतन वृद्धि जोड़कर जो राशि आए उसके समान या ठीक ऊपर वेतन का चयन करे। </t>
  </si>
  <si>
    <t>मास्टर शीट मे CONFIRMATION/ACP/PROMOTION का चयन करने पर आदेश ऑटोमैटिक GENERATE होगा</t>
  </si>
  <si>
    <t>HELPING POINT</t>
  </si>
  <si>
    <t>श्रीमान् उपकोषाधिकारी महोदय...........</t>
  </si>
  <si>
    <t>संबंधित कार्मिक श्री ........................</t>
  </si>
  <si>
    <t>निजी पंजिका संबंधित श्री ......................</t>
  </si>
  <si>
    <t>लेखा शाखा कार्यालय हाजा ।</t>
  </si>
  <si>
    <t>रक्षित पंजिका ।</t>
  </si>
  <si>
    <t>Regular</t>
  </si>
  <si>
    <t>MASTER SHEET में कार्मिक के वेतन निर्धारण संबन्धित सूचनाएँ जैसे नाम, पदनाम, वेतन नियतन का प्रकार ,वेतन नियतन दिनांक संबन्धित ,आदेश क्रमांक इत्यादि भरें</t>
  </si>
  <si>
    <t>DATA ENTRY SHEET में जितने माह का ARREAR देय है के माह नाम और मास्टर शीट और ORDER SHEET मे भरे डाटा अनुसार BASIC PAY ऑटोमैटिक शो होगी।यदि बेसिक मे किसी माह मे बदलाव अपेक्षित है तो EDIT BASIC PAY कॉलम मे संबन्धित माह के सम्मुख भरे। वार्षिक वेतन वृद्धि ऑटोमैटिक लग जाएगी। इस शीट मे CHECK &amp; EDIT की सुविधा दी गई है।यदि आप NPS EMPLOYEE है तो इसी शीट मे ड्रॉपडाउन से चयन करे। DA और HRA की दर आपको संबन्धित माह के सामने लिखनी है।</t>
  </si>
  <si>
    <t>ORDER की भाषा MASTER शीट मे आप द्वारा चयन किए गए वेतन नियतन के प्रकार के आधार पर डाइनैमिक ऑटोमैटिक तैयार होगा।बाकी स्थायीकरण/एसीपी/पदोन्नति के लिए काम मे लेने के HELPING POINTS शीट मे दिये गए है</t>
  </si>
  <si>
    <t>ARREAR शीट मे NPS की DEDUCTION ऑटोमैटिक होगी बाकी आवश्यकतानुसार MANUALLY भरनी होगी। अनावश्यक ROW और कॉलम को HIDE करके प्रिंट निकाल सकते है।</t>
  </si>
  <si>
    <r>
      <t xml:space="preserve">   1. First </t>
    </r>
    <r>
      <rPr>
        <u/>
        <sz val="16"/>
        <color rgb="FFFF0000"/>
        <rFont val="Calibri"/>
        <family val="2"/>
      </rPr>
      <t xml:space="preserve">Enable Macro </t>
    </r>
    <r>
      <rPr>
        <sz val="16"/>
        <color rgb="FFFF0000"/>
        <rFont val="Calibri"/>
        <family val="2"/>
      </rPr>
      <t xml:space="preserve">whenever open file                    </t>
    </r>
  </si>
  <si>
    <t>DA RATE</t>
  </si>
  <si>
    <t>NA</t>
  </si>
  <si>
    <t>RAMCHANDER SWAMI</t>
  </si>
  <si>
    <r>
      <rPr>
        <b/>
        <sz val="12"/>
        <color theme="1"/>
        <rFont val="Calibri Light"/>
        <family val="2"/>
        <scheme val="major"/>
      </rPr>
      <t>वेतन उठाया गया(</t>
    </r>
    <r>
      <rPr>
        <b/>
        <sz val="14"/>
        <color theme="1"/>
        <rFont val="Calibri Light"/>
        <family val="1"/>
        <scheme val="major"/>
      </rPr>
      <t>Drawn)</t>
    </r>
  </si>
  <si>
    <t>वेतन उठाना है(Due)</t>
  </si>
  <si>
    <t>{नोट:- इस शीट में एंट्री करने से पूर्व MASTER sheet और ORDER SHEET में आवश्यक पूर्तियाँ करें}</t>
  </si>
  <si>
    <t>NOTIONAL</t>
  </si>
  <si>
    <t>विशेष विवरण</t>
  </si>
  <si>
    <t>पदोन्नति पश्चात  पद</t>
  </si>
  <si>
    <t xml:space="preserve">नोशनल लाभ संबन्धित विवरण </t>
  </si>
  <si>
    <t xml:space="preserve">माननीय न्यायालय के निर्णयानुसार नोशनल परिलाभ हेतु निर्धारित तिथि </t>
  </si>
  <si>
    <t>वास्तविक कार्यग्रहण तिथि</t>
  </si>
  <si>
    <t xml:space="preserve">माननीय न्यायालय के निर्णयानुसार नोशनल परिलाभ हेतु स्थाईकरण तिथि </t>
  </si>
  <si>
    <t xml:space="preserve">पे लेवल </t>
  </si>
  <si>
    <t>वेतन</t>
  </si>
  <si>
    <t>वास्तविक स्थाईकरण</t>
  </si>
  <si>
    <t>NOTIONAL FITMENT</t>
  </si>
  <si>
    <t>YEAR</t>
  </si>
  <si>
    <t>LEVAL</t>
  </si>
  <si>
    <t>PAY</t>
  </si>
  <si>
    <t>PAY LEVAL</t>
  </si>
  <si>
    <t>FIXATION के कारण का चयन करे</t>
  </si>
  <si>
    <t>notional</t>
  </si>
  <si>
    <t>माननीय उच्च न्यायालय जोधपुर/जयपुर के निर्णयानुसार तृतीय श्रेणी प्राथमिक ओर उच्च प्राथमिक विद्यालय अध्यापक भर्ती 2013 के अन्तर्गत संशोधित एवं पुनः संशोधित परिणाम से चयनोपरान्त शिक्षकों को नोशनल परिलाभ हेतु पारित निर्णय के पालनार्थ श्रीमान वरिष्ठ विधि परामर्शी प्रारम्भिक शिक्षा (विधि प्रकोष्ठ) राजस्थान जयपुर के पत्रांक प.18(279) प्रा.शि/वि.प्र./18/जयपुर दिनांक 20.11.2018 की अनुपालना में  इस कार्यालय के निम्नांकित  कार्मिक के वास्तविक प्रथम कार्यग्रहण तिथि को माननीय न्यायालय के निर्णयानुसार नोशनल/वरिष्ठता परिलाभ हेतु निर्धारित तिथि (प्रथम परिणाम नियुक्त शिक्षको की कार्यग्रहण तिथि)  से नोशनल परिलाभ हेतु स्थायीकरण तिथि करने एवं वास्तविक कार्यग्रहण तिथि से दो वर्ष परिविक्षाकाल पूर्ण होने पर स्थाईकरण  किये जाने पर निम्नानुसार वेतन निर्धारण किया जाता है:-"</t>
  </si>
  <si>
    <t xml:space="preserve">वार्षिक वेतनवृद्धि </t>
  </si>
  <si>
    <t>3.यदि आपकी उतरोत्तर वेतन वृद्धि बकाया है तो कॉलम 13 मे ड्रॉपडाउन से वार्षिक वेतनवृद्धि  काचयन करे आगामी वेतन वृद्धि लग जाएगी</t>
  </si>
  <si>
    <t>4.यदि आपकी उतरोत्तर वेतन वृद्धि बकाया है तो कॉलम 13 मे ड्रॉपडाउन से वार्षिक वेतनवृद्धि  काचयन करे आगामी वेतन वृद्धि लग जाएगी</t>
  </si>
  <si>
    <t>अक्षरे रूपये</t>
  </si>
  <si>
    <t>नोशनल लाभ  हेतु</t>
  </si>
  <si>
    <t xml:space="preserve">2. यदि आपको माननीय न्यायालय के आदेशानुसार नोशनल लाभ देय है तो  कॉलम 11 मे नोशनल स्थाईकरण तिथि को वर्तमान पद का  PAY LEVAL और कॉलम 12 में विद्यमान वेतन लेवल के वेतन के समान या ठीक ऊपर वेतन का चयन करे। </t>
  </si>
  <si>
    <t>3.यदि आपकी उतरोत्तर वेतन वृद्धि बकाया है तो कॉलम 13 मे ड्रॉपडाउन से वार्षिक वेतनवृद्धि  का चयन करे आगामी वेतन वृद्धि लग जाएगी</t>
  </si>
  <si>
    <t>NO</t>
  </si>
  <si>
    <t xml:space="preserve"> ORDER SHEET में  वास्तविक लाभ देय तिथि को वेतन EDIT करना चाहते है तो नीचे YES चयन कर पे लेवल व वेतन का चयन करे</t>
  </si>
  <si>
    <t>3 स्थाईकरण,एसीपी,पदोन्नति और नोशनल फ़िक्सेशन की स्थिति मे एक ही प्रोग्राम से कार्यालय आदेश और ARREAR CALCULATION SHEET मे AUTO SWITCH सुविधा</t>
  </si>
  <si>
    <t>4 ARREAR SHEET मे प्रारम्भिक माह मे महीने के दिनों की संख्या के अनुसार ऑटोमैटिक वेतन गणना</t>
  </si>
  <si>
    <t>FEATURES</t>
  </si>
  <si>
    <t>ALL-IN-ONE PAY FIXATION AND ARREAR CALCULATION EXCEL UTILITY 2020</t>
  </si>
  <si>
    <t>2 AREEAR CALCULATION SHEET मे प्रिंट हेतु अनचाहे ROWS और COLUMN को ऑटोमैटिक HIDE, UNHIDE की सुविधा (NEW FEATURE)</t>
  </si>
  <si>
    <t>1. नोशनल लाभ FIXATION और AREEAR CALCULATION सुविधा (NEW FEATURE)</t>
  </si>
  <si>
    <t>जिस दिनांक तक ARREAR बनाना यहाँ भरे</t>
  </si>
  <si>
    <t>RECTIFIED ERROR -INCOME TAX COLUMN'S AMOUNT WAS NOT ADDING IN TOTAL DEDUCTION HAS BEEN RECTIFIED.</t>
  </si>
  <si>
    <t>UPDATE 02-02-2021</t>
  </si>
  <si>
    <t>CADER</t>
  </si>
  <si>
    <t>State Service</t>
  </si>
  <si>
    <t>Ministrial</t>
  </si>
  <si>
    <t>Class IV</t>
  </si>
  <si>
    <t>pay leval</t>
  </si>
  <si>
    <t>Pay Leval</t>
  </si>
  <si>
    <t xml:space="preserve">Subordinate </t>
  </si>
  <si>
    <t>UPDATE 21-04-2021</t>
  </si>
  <si>
    <t>UPGRADED PROGRAM FROM JAN 2017 TO DEC 2021 USEABLE FOR 5 YEARS ARREAR SHEET</t>
  </si>
  <si>
    <t>RGHS</t>
  </si>
  <si>
    <t>No</t>
  </si>
  <si>
    <t xml:space="preserve">राजपुरा पिपेरण श्रीगंगानगर </t>
  </si>
  <si>
    <t xml:space="preserve">प्रधानाचार्य राजकीय उच्च माध्यमिक विद्यालय राजपुरा पिपेरन  श्री गंगानगर </t>
  </si>
  <si>
    <t>UPDATE 12-02-2023</t>
  </si>
  <si>
    <t>UPGRADED PROGRAM FROM JAN 2017 TO DEC 2023 SEABLE FOR 7 YEARS ARREAR SHEET</t>
  </si>
</sst>
</file>

<file path=xl/styles.xml><?xml version="1.0" encoding="utf-8"?>
<styleSheet xmlns="http://schemas.openxmlformats.org/spreadsheetml/2006/main" xmlns:mc="http://schemas.openxmlformats.org/markup-compatibility/2006" xmlns:x14ac="http://schemas.microsoft.com/office/spreadsheetml/2009/9/ac" mc:Ignorable="x14ac">
  <fonts count="86" x14ac:knownFonts="1">
    <font>
      <sz val="11"/>
      <color theme="1"/>
      <name val="Calibri"/>
      <family val="2"/>
      <scheme val="minor"/>
    </font>
    <font>
      <sz val="12"/>
      <color theme="1"/>
      <name val="Calibri"/>
      <family val="2"/>
      <scheme val="minor"/>
    </font>
    <font>
      <b/>
      <sz val="12"/>
      <color theme="1"/>
      <name val="DevLys 010"/>
    </font>
    <font>
      <sz val="12"/>
      <color theme="1"/>
      <name val="Kruti Dev 010"/>
    </font>
    <font>
      <b/>
      <sz val="10"/>
      <name val="Arial"/>
      <family val="2"/>
    </font>
    <font>
      <b/>
      <sz val="11"/>
      <name val="Arial"/>
      <family val="2"/>
    </font>
    <font>
      <b/>
      <sz val="10.5"/>
      <color rgb="FF000000"/>
      <name val="Arial"/>
      <family val="2"/>
    </font>
    <font>
      <b/>
      <sz val="11"/>
      <color rgb="FF000000"/>
      <name val="Arial"/>
      <family val="2"/>
    </font>
    <font>
      <b/>
      <sz val="13"/>
      <color rgb="FF000000"/>
      <name val="Arial"/>
      <family val="2"/>
    </font>
    <font>
      <b/>
      <sz val="9.5"/>
      <color rgb="FF000000"/>
      <name val="Arial"/>
      <family val="2"/>
    </font>
    <font>
      <sz val="11"/>
      <color theme="1"/>
      <name val="DevLys 010"/>
    </font>
    <font>
      <sz val="12"/>
      <color theme="1"/>
      <name val="Times New Roman"/>
      <family val="1"/>
    </font>
    <font>
      <sz val="12"/>
      <color theme="1"/>
      <name val="DevLys 010"/>
    </font>
    <font>
      <sz val="9"/>
      <color theme="1"/>
      <name val="Calibri"/>
      <family val="2"/>
      <scheme val="minor"/>
    </font>
    <font>
      <b/>
      <u/>
      <sz val="16"/>
      <color theme="1"/>
      <name val="DevLys 010"/>
    </font>
    <font>
      <sz val="11"/>
      <name val="DevLys 010"/>
    </font>
    <font>
      <b/>
      <sz val="10"/>
      <color theme="1"/>
      <name val="DevLys 010"/>
    </font>
    <font>
      <b/>
      <sz val="9"/>
      <color theme="1"/>
      <name val="DevLys 010"/>
    </font>
    <font>
      <sz val="11"/>
      <color theme="1"/>
      <name val="Arial"/>
      <family val="2"/>
    </font>
    <font>
      <sz val="11"/>
      <name val="Calibri"/>
      <family val="2"/>
    </font>
    <font>
      <sz val="9"/>
      <color rgb="FFFFFFFF"/>
      <name val="Arial"/>
      <family val="2"/>
    </font>
    <font>
      <sz val="14"/>
      <name val="Blackadder ITC"/>
      <family val="5"/>
    </font>
    <font>
      <b/>
      <sz val="8"/>
      <color theme="1"/>
      <name val="Calibri"/>
      <family val="2"/>
      <scheme val="minor"/>
    </font>
    <font>
      <b/>
      <sz val="20"/>
      <color theme="1"/>
      <name val="DevLys 010"/>
    </font>
    <font>
      <b/>
      <sz val="11"/>
      <color theme="1"/>
      <name val="DevLys 010"/>
    </font>
    <font>
      <b/>
      <sz val="10"/>
      <color theme="3"/>
      <name val="Calibri"/>
      <family val="2"/>
      <scheme val="minor"/>
    </font>
    <font>
      <sz val="9"/>
      <color theme="1"/>
      <name val="DevLys 010"/>
    </font>
    <font>
      <sz val="11"/>
      <color theme="1"/>
      <name val="Times New Roman"/>
      <family val="1"/>
    </font>
    <font>
      <b/>
      <sz val="14"/>
      <color rgb="FFC00000"/>
      <name val="Calibri Light"/>
      <family val="1"/>
      <scheme val="major"/>
    </font>
    <font>
      <sz val="11"/>
      <color theme="1"/>
      <name val="Calibri Light"/>
      <family val="1"/>
      <scheme val="major"/>
    </font>
    <font>
      <b/>
      <sz val="11"/>
      <color rgb="FFC00000"/>
      <name val="Calibri Light"/>
      <family val="1"/>
      <scheme val="major"/>
    </font>
    <font>
      <b/>
      <sz val="12"/>
      <color rgb="FFC00000"/>
      <name val="Calibri Light"/>
      <family val="1"/>
      <scheme val="major"/>
    </font>
    <font>
      <sz val="10"/>
      <color theme="1"/>
      <name val="Calibri"/>
      <family val="2"/>
      <scheme val="minor"/>
    </font>
    <font>
      <b/>
      <sz val="14"/>
      <color theme="1"/>
      <name val="Calibri Light"/>
      <family val="1"/>
      <scheme val="major"/>
    </font>
    <font>
      <b/>
      <sz val="11"/>
      <color theme="0"/>
      <name val="Calibri Light"/>
      <family val="1"/>
      <scheme val="major"/>
    </font>
    <font>
      <b/>
      <sz val="10"/>
      <color rgb="FF000000"/>
      <name val="Calibri"/>
      <family val="2"/>
    </font>
    <font>
      <b/>
      <sz val="9"/>
      <color rgb="FF000000"/>
      <name val="Calibri"/>
      <family val="2"/>
    </font>
    <font>
      <b/>
      <sz val="11"/>
      <color rgb="FFFF0000"/>
      <name val="Calibri"/>
      <family val="2"/>
      <scheme val="minor"/>
    </font>
    <font>
      <sz val="14"/>
      <color theme="1"/>
      <name val="Cambria"/>
      <family val="1"/>
    </font>
    <font>
      <sz val="11"/>
      <color theme="1"/>
      <name val="Cambria"/>
      <family val="1"/>
    </font>
    <font>
      <b/>
      <sz val="10"/>
      <color theme="1"/>
      <name val="Cambria"/>
      <family val="1"/>
    </font>
    <font>
      <sz val="8"/>
      <color theme="1"/>
      <name val="Calibri"/>
      <family val="2"/>
      <scheme val="minor"/>
    </font>
    <font>
      <b/>
      <sz val="9"/>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sz val="12"/>
      <color theme="1"/>
      <name val="Cambria"/>
      <family val="1"/>
    </font>
    <font>
      <i/>
      <u val="double"/>
      <sz val="12"/>
      <color theme="1"/>
      <name val="Cambria"/>
      <family val="1"/>
    </font>
    <font>
      <b/>
      <sz val="11"/>
      <color theme="1"/>
      <name val="Calibri"/>
      <family val="2"/>
      <scheme val="minor"/>
    </font>
    <font>
      <b/>
      <sz val="14"/>
      <color theme="1"/>
      <name val="DevLys 010"/>
    </font>
    <font>
      <b/>
      <sz val="12"/>
      <color theme="1"/>
      <name val="Calibri"/>
      <family val="2"/>
      <scheme val="minor"/>
    </font>
    <font>
      <b/>
      <sz val="22"/>
      <name val="Times New Roman"/>
      <family val="1"/>
    </font>
    <font>
      <b/>
      <sz val="14"/>
      <name val="Times New Roman"/>
      <family val="1"/>
    </font>
    <font>
      <sz val="11"/>
      <color theme="1"/>
      <name val="Calibri"/>
      <family val="2"/>
    </font>
    <font>
      <sz val="11"/>
      <color rgb="FF000000"/>
      <name val="Arial"/>
      <family val="2"/>
    </font>
    <font>
      <sz val="16"/>
      <color rgb="FFFF0000"/>
      <name val="Calibri"/>
      <family val="2"/>
    </font>
    <font>
      <u/>
      <sz val="16"/>
      <color rgb="FFFF0000"/>
      <name val="Calibri"/>
      <family val="2"/>
    </font>
    <font>
      <sz val="10"/>
      <color rgb="FF000000"/>
      <name val="Arial"/>
      <family val="2"/>
    </font>
    <font>
      <b/>
      <sz val="20"/>
      <color theme="1"/>
      <name val="Arial"/>
      <family val="2"/>
    </font>
    <font>
      <u/>
      <sz val="9"/>
      <color theme="1"/>
      <name val="Calibri"/>
      <family val="2"/>
      <scheme val="minor"/>
    </font>
    <font>
      <u/>
      <sz val="10"/>
      <color theme="1"/>
      <name val="Calibri"/>
      <family val="2"/>
      <scheme val="minor"/>
    </font>
    <font>
      <sz val="11"/>
      <name val="Calibri"/>
      <family val="2"/>
      <scheme val="minor"/>
    </font>
    <font>
      <sz val="10"/>
      <name val="Calibri"/>
      <family val="2"/>
      <scheme val="minor"/>
    </font>
    <font>
      <sz val="9"/>
      <color indexed="81"/>
      <name val="Tahoma"/>
      <family val="2"/>
    </font>
    <font>
      <b/>
      <sz val="9"/>
      <color indexed="81"/>
      <name val="Tahoma"/>
      <family val="2"/>
    </font>
    <font>
      <sz val="10"/>
      <color theme="1"/>
      <name val="Cambria"/>
      <family val="1"/>
    </font>
    <font>
      <b/>
      <u/>
      <sz val="12"/>
      <color theme="1"/>
      <name val="Cambria"/>
      <family val="1"/>
    </font>
    <font>
      <sz val="20"/>
      <color theme="1"/>
      <name val="Calibri"/>
      <family val="2"/>
      <scheme val="minor"/>
    </font>
    <font>
      <sz val="10"/>
      <color theme="0"/>
      <name val="Arial"/>
      <family val="2"/>
    </font>
    <font>
      <sz val="11"/>
      <color theme="0"/>
      <name val="Arial"/>
      <family val="2"/>
    </font>
    <font>
      <b/>
      <sz val="12"/>
      <name val="Calibri Light"/>
      <family val="1"/>
      <scheme val="major"/>
    </font>
    <font>
      <b/>
      <sz val="14"/>
      <name val="Cambria"/>
      <family val="1"/>
    </font>
    <font>
      <b/>
      <sz val="11"/>
      <name val="Cambria"/>
      <family val="1"/>
    </font>
    <font>
      <b/>
      <sz val="11"/>
      <color theme="1"/>
      <name val="Calibri Light"/>
      <family val="1"/>
      <scheme val="major"/>
    </font>
    <font>
      <b/>
      <sz val="12"/>
      <color theme="1"/>
      <name val="Calibri Light"/>
      <family val="2"/>
      <scheme val="major"/>
    </font>
    <font>
      <b/>
      <sz val="14"/>
      <color theme="1"/>
      <name val="Calibri Light"/>
      <family val="2"/>
      <scheme val="major"/>
    </font>
    <font>
      <b/>
      <sz val="9"/>
      <color rgb="FFFF0000"/>
      <name val="Calibri Light"/>
      <family val="1"/>
      <scheme val="major"/>
    </font>
    <font>
      <sz val="11"/>
      <name val="Cambria"/>
      <family val="1"/>
    </font>
    <font>
      <sz val="8"/>
      <color rgb="FFFF0000"/>
      <name val="Cambria"/>
      <family val="1"/>
    </font>
    <font>
      <b/>
      <sz val="8"/>
      <color theme="1"/>
      <name val="Cambria"/>
      <family val="1"/>
    </font>
    <font>
      <sz val="11"/>
      <color rgb="FF66FF99"/>
      <name val="Calibri"/>
      <family val="2"/>
      <scheme val="minor"/>
    </font>
    <font>
      <sz val="20"/>
      <color rgb="FF66FF99"/>
      <name val="Calibri"/>
      <family val="2"/>
      <scheme val="minor"/>
    </font>
    <font>
      <sz val="12"/>
      <color rgb="FF66FF99"/>
      <name val="Calibri"/>
      <family val="2"/>
      <scheme val="minor"/>
    </font>
    <font>
      <sz val="8"/>
      <color theme="1"/>
      <name val="Cambria"/>
      <family val="1"/>
    </font>
    <font>
      <sz val="10"/>
      <color rgb="FFFF0000"/>
      <name val="Calibri Light"/>
      <family val="1"/>
      <scheme val="major"/>
    </font>
    <font>
      <sz val="11"/>
      <color theme="0"/>
      <name val="Calibri"/>
      <family val="2"/>
      <scheme val="minor"/>
    </font>
  </fonts>
  <fills count="3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B050"/>
        <bgColor indexed="64"/>
      </patternFill>
    </fill>
    <fill>
      <patternFill patternType="solid">
        <fgColor theme="5" tint="0.39997558519241921"/>
        <bgColor indexed="64"/>
      </patternFill>
    </fill>
    <fill>
      <patternFill patternType="solid">
        <fgColor rgb="FFFFFF00"/>
        <bgColor rgb="FF000000"/>
      </patternFill>
    </fill>
    <fill>
      <patternFill patternType="solid">
        <fgColor rgb="FF00B0F0"/>
        <bgColor rgb="FF000000"/>
      </patternFill>
    </fill>
    <fill>
      <patternFill patternType="solid">
        <fgColor rgb="FF000000"/>
        <bgColor rgb="FF000000"/>
      </patternFill>
    </fill>
    <fill>
      <patternFill patternType="solid">
        <fgColor rgb="FFE6B9B8"/>
        <bgColor rgb="FF000000"/>
      </patternFill>
    </fill>
    <fill>
      <patternFill patternType="solid">
        <fgColor theme="7" tint="0.39997558519241921"/>
        <bgColor indexed="64"/>
      </patternFill>
    </fill>
    <fill>
      <patternFill patternType="solid">
        <fgColor theme="0"/>
        <bgColor indexed="64"/>
      </patternFill>
    </fill>
    <fill>
      <patternFill patternType="solid">
        <fgColor theme="0"/>
        <bgColor theme="4" tint="0.79998168889431442"/>
      </patternFill>
    </fill>
    <fill>
      <patternFill patternType="solid">
        <fgColor theme="5" tint="0.79998168889431442"/>
        <bgColor theme="4" tint="0.79998168889431442"/>
      </patternFill>
    </fill>
    <fill>
      <patternFill patternType="solid">
        <fgColor theme="5" tint="0.79998168889431442"/>
        <bgColor indexed="64"/>
      </patternFill>
    </fill>
    <fill>
      <patternFill patternType="solid">
        <fgColor theme="9" tint="0.39997558519241921"/>
        <bgColor indexed="64"/>
      </patternFill>
    </fill>
    <fill>
      <patternFill patternType="solid">
        <fgColor rgb="FF66FF99"/>
        <bgColor indexed="64"/>
      </patternFill>
    </fill>
    <fill>
      <patternFill patternType="solid">
        <fgColor rgb="FFC00000"/>
        <bgColor indexed="64"/>
      </patternFill>
    </fill>
    <fill>
      <patternFill patternType="solid">
        <fgColor rgb="FFFFC000"/>
        <bgColor indexed="64"/>
      </patternFill>
    </fill>
    <fill>
      <patternFill patternType="solid">
        <fgColor rgb="FF00FFFF"/>
        <bgColor indexed="64"/>
      </patternFill>
    </fill>
    <fill>
      <gradientFill type="path">
        <stop position="0">
          <color theme="0"/>
        </stop>
        <stop position="1">
          <color rgb="FFFFFF00"/>
        </stop>
      </gradientFill>
    </fill>
    <fill>
      <gradientFill type="path" left="0.5" right="0.5" top="0.5" bottom="0.5">
        <stop position="0">
          <color theme="0"/>
        </stop>
        <stop position="1">
          <color theme="5" tint="0.59999389629810485"/>
        </stop>
      </gradientFill>
    </fill>
    <fill>
      <patternFill patternType="solid">
        <fgColor theme="0" tint="-0.249977111117893"/>
        <bgColor indexed="64"/>
      </patternFill>
    </fill>
    <fill>
      <patternFill patternType="solid">
        <fgColor rgb="FF99FFCC"/>
        <bgColor rgb="FF000000"/>
      </patternFill>
    </fill>
    <fill>
      <gradientFill type="path" left="0.5" right="0.5" top="0.5" bottom="0.5">
        <stop position="0">
          <color rgb="FFFFFFFF"/>
        </stop>
        <stop position="1">
          <color rgb="FFFF0000"/>
        </stop>
      </gradientFill>
    </fill>
    <fill>
      <patternFill patternType="solid">
        <fgColor rgb="FFFFFFCC"/>
        <bgColor rgb="FF000000"/>
      </patternFill>
    </fill>
    <fill>
      <patternFill patternType="solid">
        <fgColor rgb="FFFCD5B4"/>
        <bgColor rgb="FF000000"/>
      </patternFill>
    </fill>
    <fill>
      <gradientFill type="path" left="0.5" right="0.5" top="0.5" bottom="0.5">
        <stop position="0">
          <color rgb="FFFFFFFF"/>
        </stop>
        <stop position="1">
          <color rgb="FFFFFF00"/>
        </stop>
      </gradientFill>
    </fill>
    <fill>
      <patternFill patternType="solid">
        <fgColor rgb="FF00FF99"/>
        <bgColor rgb="FF000000"/>
      </patternFill>
    </fill>
    <fill>
      <gradientFill type="path">
        <stop position="0">
          <color rgb="FF66FF99"/>
        </stop>
        <stop position="1">
          <color theme="7" tint="0.40000610370189521"/>
        </stop>
      </gradientFill>
    </fill>
    <fill>
      <gradientFill type="path" left="0.5" right="0.5" top="0.5" bottom="0.5">
        <stop position="0">
          <color theme="0"/>
        </stop>
        <stop position="1">
          <color rgb="FFFFFF00"/>
        </stop>
      </gradientFill>
    </fill>
    <fill>
      <patternFill patternType="solid">
        <fgColor theme="0" tint="-0.14999847407452621"/>
        <bgColor indexed="64"/>
      </patternFill>
    </fill>
    <fill>
      <patternFill patternType="solid">
        <fgColor theme="1"/>
        <bgColor indexed="64"/>
      </patternFill>
    </fill>
    <fill>
      <patternFill patternType="solid">
        <fgColor rgb="FFFFCCCC"/>
        <bgColor indexed="64"/>
      </patternFill>
    </fill>
    <fill>
      <patternFill patternType="solid">
        <fgColor theme="0" tint="-0.14999847407452621"/>
        <bgColor theme="4" tint="0.79998168889431442"/>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style="thin">
        <color theme="5" tint="-0.249977111117893"/>
      </right>
      <top style="thin">
        <color indexed="64"/>
      </top>
      <bottom style="thin">
        <color theme="5" tint="-0.249977111117893"/>
      </bottom>
      <diagonal/>
    </border>
    <border>
      <left/>
      <right style="thin">
        <color indexed="64"/>
      </right>
      <top style="thin">
        <color theme="5" tint="-0.249977111117893"/>
      </top>
      <bottom style="thin">
        <color indexed="64"/>
      </bottom>
      <diagonal/>
    </border>
    <border>
      <left style="thin">
        <color indexed="64"/>
      </left>
      <right/>
      <top style="thin">
        <color theme="5" tint="-0.24997711111789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5" tint="-0.249977111117893"/>
      </top>
      <bottom/>
      <diagonal/>
    </border>
    <border>
      <left/>
      <right/>
      <top style="thin">
        <color theme="5" tint="-0.249977111117893"/>
      </top>
      <bottom style="thin">
        <color indexed="64"/>
      </bottom>
      <diagonal/>
    </border>
    <border>
      <left style="thin">
        <color theme="5" tint="-0.249977111117893"/>
      </left>
      <right style="thin">
        <color indexed="64"/>
      </right>
      <top style="thin">
        <color theme="5" tint="-0.249977111117893"/>
      </top>
      <bottom/>
      <diagonal/>
    </border>
    <border>
      <left style="thin">
        <color theme="5" tint="-0.249977111117893"/>
      </left>
      <right style="thin">
        <color indexed="64"/>
      </right>
      <top/>
      <bottom style="thin">
        <color indexed="64"/>
      </bottom>
      <diagonal/>
    </border>
    <border>
      <left/>
      <right/>
      <top/>
      <bottom style="thin">
        <color theme="5" tint="-0.249977111117893"/>
      </bottom>
      <diagonal/>
    </border>
    <border>
      <left/>
      <right/>
      <top style="thin">
        <color indexed="64"/>
      </top>
      <bottom/>
      <diagonal/>
    </border>
    <border>
      <left style="thin">
        <color theme="5" tint="-0.249977111117893"/>
      </left>
      <right style="thin">
        <color theme="5" tint="-0.249977111117893"/>
      </right>
      <top/>
      <bottom style="thin">
        <color theme="5" tint="-0.249977111117893"/>
      </bottom>
      <diagonal/>
    </border>
    <border>
      <left/>
      <right style="thin">
        <color indexed="64"/>
      </right>
      <top style="thin">
        <color indexed="64"/>
      </top>
      <bottom style="thin">
        <color indexed="64"/>
      </bottom>
      <diagonal/>
    </border>
    <border>
      <left style="thin">
        <color theme="5" tint="-0.249977111117893"/>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B050"/>
      </left>
      <right style="thin">
        <color rgb="FF00B050"/>
      </right>
      <top style="thin">
        <color rgb="FF00B050"/>
      </top>
      <bottom style="thin">
        <color rgb="FF00B050"/>
      </bottom>
      <diagonal/>
    </border>
    <border>
      <left style="thin">
        <color rgb="FF92D050"/>
      </left>
      <right style="thin">
        <color rgb="FF92D050"/>
      </right>
      <top style="thin">
        <color rgb="FF92D050"/>
      </top>
      <bottom style="thin">
        <color rgb="FF92D050"/>
      </bottom>
      <diagonal/>
    </border>
    <border>
      <left/>
      <right/>
      <top/>
      <bottom style="thin">
        <color indexed="64"/>
      </bottom>
      <diagonal/>
    </border>
    <border>
      <left style="thin">
        <color indexed="64"/>
      </left>
      <right style="thin">
        <color indexed="64"/>
      </right>
      <top/>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ck">
        <color rgb="FFFF0000"/>
      </left>
      <right style="medium">
        <color rgb="FFFF0000"/>
      </right>
      <top style="thick">
        <color rgb="FFFF0000"/>
      </top>
      <bottom style="thick">
        <color rgb="FFFF0000"/>
      </bottom>
      <diagonal/>
    </border>
    <border>
      <left style="medium">
        <color rgb="FFFF0000"/>
      </left>
      <right style="medium">
        <color rgb="FFFF0000"/>
      </right>
      <top style="thick">
        <color rgb="FFFF0000"/>
      </top>
      <bottom style="thick">
        <color rgb="FFFF0000"/>
      </bottom>
      <diagonal/>
    </border>
    <border>
      <left style="thin">
        <color indexed="64"/>
      </left>
      <right/>
      <top style="thin">
        <color theme="5" tint="-0.249977111117893"/>
      </top>
      <bottom style="thin">
        <color theme="5" tint="-0.249977111117893"/>
      </bottom>
      <diagonal/>
    </border>
    <border>
      <left/>
      <right style="thin">
        <color indexed="64"/>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double">
        <color rgb="FFFF0000"/>
      </left>
      <right style="double">
        <color rgb="FFFF0000"/>
      </right>
      <top style="double">
        <color rgb="FFFF0000"/>
      </top>
      <bottom style="double">
        <color rgb="FFFF0000"/>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rgb="FFE36C09"/>
      </left>
      <right/>
      <top style="double">
        <color rgb="FFE36C09"/>
      </top>
      <bottom/>
      <diagonal/>
    </border>
    <border>
      <left/>
      <right/>
      <top style="double">
        <color rgb="FFE36C09"/>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rgb="FFFF0000"/>
      </left>
      <right style="medium">
        <color rgb="FFFF0000"/>
      </right>
      <top style="medium">
        <color rgb="FFFF0000"/>
      </top>
      <bottom style="medium">
        <color rgb="FFFF0000"/>
      </bottom>
      <diagonal/>
    </border>
    <border>
      <left/>
      <right/>
      <top style="double">
        <color rgb="FFFF0000"/>
      </top>
      <bottom style="double">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rgb="FFC00000"/>
      </left>
      <right/>
      <top style="double">
        <color rgb="FFC00000"/>
      </top>
      <bottom style="double">
        <color rgb="FFC00000"/>
      </bottom>
      <diagonal/>
    </border>
    <border>
      <left/>
      <right/>
      <top style="double">
        <color rgb="FFC00000"/>
      </top>
      <bottom style="double">
        <color rgb="FFC00000"/>
      </bottom>
      <diagonal/>
    </border>
    <border>
      <left/>
      <right style="double">
        <color rgb="FFC00000"/>
      </right>
      <top style="double">
        <color rgb="FFC00000"/>
      </top>
      <bottom style="double">
        <color rgb="FFC00000"/>
      </bottom>
      <diagonal/>
    </border>
    <border>
      <left/>
      <right/>
      <top style="medium">
        <color rgb="FFFF0000"/>
      </top>
      <bottom style="medium">
        <color rgb="FFFF0000"/>
      </bottom>
      <diagonal/>
    </border>
    <border>
      <left style="thin">
        <color theme="5" tint="-0.249977111117893"/>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right/>
      <top/>
      <bottom style="medium">
        <color rgb="FFFF0000"/>
      </bottom>
      <diagonal/>
    </border>
  </borders>
  <cellStyleXfs count="1">
    <xf numFmtId="0" fontId="0" fillId="0" borderId="0"/>
  </cellStyleXfs>
  <cellXfs count="386">
    <xf numFmtId="0" fontId="0" fillId="0" borderId="0" xfId="0"/>
    <xf numFmtId="0" fontId="0" fillId="0" borderId="0" xfId="0" applyProtection="1">
      <protection locked="0"/>
    </xf>
    <xf numFmtId="0" fontId="0" fillId="2" borderId="1" xfId="0" applyFill="1" applyBorder="1" applyAlignment="1" applyProtection="1">
      <alignment horizontal="left" vertical="top" wrapText="1" indent="1"/>
      <protection hidden="1"/>
    </xf>
    <xf numFmtId="0" fontId="0" fillId="0" borderId="0" xfId="0" applyProtection="1">
      <protection hidden="1"/>
    </xf>
    <xf numFmtId="0" fontId="5" fillId="0" borderId="1" xfId="0" applyFont="1" applyFill="1" applyBorder="1" applyAlignment="1" applyProtection="1">
      <alignment horizontal="center" vertical="top" wrapText="1"/>
      <protection hidden="1"/>
    </xf>
    <xf numFmtId="1" fontId="6" fillId="0" borderId="1" xfId="0" applyNumberFormat="1" applyFont="1" applyFill="1" applyBorder="1" applyAlignment="1" applyProtection="1">
      <alignment horizontal="center" vertical="top" shrinkToFit="1"/>
      <protection hidden="1"/>
    </xf>
    <xf numFmtId="1" fontId="6" fillId="0" borderId="1" xfId="0" applyNumberFormat="1" applyFont="1" applyFill="1" applyBorder="1" applyAlignment="1" applyProtection="1">
      <alignment horizontal="left" vertical="top" shrinkToFit="1"/>
      <protection hidden="1"/>
    </xf>
    <xf numFmtId="1" fontId="6" fillId="0" borderId="1" xfId="0" applyNumberFormat="1" applyFont="1" applyFill="1" applyBorder="1" applyAlignment="1" applyProtection="1">
      <alignment horizontal="right" vertical="top" shrinkToFit="1"/>
      <protection hidden="1"/>
    </xf>
    <xf numFmtId="1" fontId="6" fillId="0" borderId="1" xfId="0" applyNumberFormat="1" applyFont="1" applyFill="1" applyBorder="1" applyAlignment="1" applyProtection="1">
      <alignment horizontal="left" vertical="top" indent="1" shrinkToFit="1"/>
      <protection hidden="1"/>
    </xf>
    <xf numFmtId="0" fontId="4" fillId="0" borderId="1" xfId="0" applyFont="1" applyFill="1" applyBorder="1" applyAlignment="1" applyProtection="1">
      <alignment horizontal="center" vertical="top" wrapText="1"/>
      <protection hidden="1"/>
    </xf>
    <xf numFmtId="1" fontId="7" fillId="0" borderId="1" xfId="0" applyNumberFormat="1" applyFont="1" applyFill="1" applyBorder="1" applyAlignment="1" applyProtection="1">
      <alignment horizontal="center" vertical="top" shrinkToFit="1"/>
      <protection hidden="1"/>
    </xf>
    <xf numFmtId="1" fontId="7" fillId="0" borderId="1" xfId="0" applyNumberFormat="1" applyFont="1" applyFill="1" applyBorder="1" applyAlignment="1" applyProtection="1">
      <alignment horizontal="left" vertical="top" indent="1" shrinkToFit="1"/>
      <protection hidden="1"/>
    </xf>
    <xf numFmtId="0" fontId="4" fillId="2" borderId="1" xfId="0" applyFont="1" applyFill="1" applyBorder="1" applyAlignment="1" applyProtection="1">
      <alignment horizontal="center" vertical="top" wrapText="1"/>
      <protection hidden="1"/>
    </xf>
    <xf numFmtId="0" fontId="5" fillId="2" borderId="1" xfId="0" applyFont="1" applyFill="1" applyBorder="1" applyAlignment="1" applyProtection="1">
      <alignment horizontal="center" vertical="top" wrapText="1"/>
      <protection hidden="1"/>
    </xf>
    <xf numFmtId="0" fontId="5" fillId="2" borderId="1" xfId="0" applyFont="1" applyFill="1" applyBorder="1" applyAlignment="1" applyProtection="1">
      <alignment horizontal="left" vertical="top" wrapText="1" indent="1"/>
      <protection hidden="1"/>
    </xf>
    <xf numFmtId="0" fontId="0" fillId="0" borderId="1" xfId="0" applyFill="1" applyBorder="1" applyAlignment="1" applyProtection="1">
      <alignment horizontal="center" vertical="center" wrapText="1"/>
      <protection hidden="1"/>
    </xf>
    <xf numFmtId="1" fontId="8" fillId="0" borderId="1" xfId="0" applyNumberFormat="1" applyFont="1" applyFill="1" applyBorder="1" applyAlignment="1" applyProtection="1">
      <alignment horizontal="center" vertical="top" shrinkToFit="1"/>
      <protection hidden="1"/>
    </xf>
    <xf numFmtId="1" fontId="9" fillId="0" borderId="1" xfId="0" applyNumberFormat="1" applyFont="1" applyFill="1" applyBorder="1" applyAlignment="1" applyProtection="1">
      <alignment horizontal="center" vertical="top" shrinkToFit="1"/>
      <protection hidden="1"/>
    </xf>
    <xf numFmtId="0" fontId="5" fillId="0" borderId="1" xfId="0" applyFont="1" applyFill="1" applyBorder="1" applyAlignment="1" applyProtection="1">
      <alignment horizontal="left" vertical="top" wrapText="1" indent="1"/>
      <protection hidden="1"/>
    </xf>
    <xf numFmtId="1" fontId="9" fillId="3" borderId="1" xfId="0" applyNumberFormat="1" applyFont="1" applyFill="1" applyBorder="1" applyAlignment="1" applyProtection="1">
      <alignment horizontal="center" vertical="top" shrinkToFit="1"/>
      <protection hidden="1"/>
    </xf>
    <xf numFmtId="0" fontId="15" fillId="2" borderId="1" xfId="0" applyFont="1" applyFill="1" applyBorder="1" applyAlignment="1" applyProtection="1">
      <alignment horizontal="center"/>
      <protection locked="0"/>
    </xf>
    <xf numFmtId="0" fontId="20" fillId="9" borderId="12" xfId="0" applyFont="1" applyFill="1" applyBorder="1" applyAlignment="1" applyProtection="1">
      <alignment vertical="top" wrapText="1"/>
      <protection hidden="1"/>
    </xf>
    <xf numFmtId="0" fontId="15" fillId="2" borderId="14" xfId="0" applyFont="1" applyFill="1" applyBorder="1" applyAlignment="1" applyProtection="1">
      <alignment horizontal="center"/>
      <protection locked="0"/>
    </xf>
    <xf numFmtId="0" fontId="0" fillId="0" borderId="0" xfId="0" applyProtection="1"/>
    <xf numFmtId="0" fontId="10" fillId="0" borderId="0" xfId="0" applyFont="1" applyProtection="1"/>
    <xf numFmtId="0" fontId="0" fillId="5" borderId="1" xfId="0" applyFill="1" applyBorder="1" applyAlignment="1" applyProtection="1">
      <alignment horizontal="center" vertical="center"/>
    </xf>
    <xf numFmtId="0" fontId="13" fillId="0" borderId="0" xfId="0" applyFont="1" applyProtection="1"/>
    <xf numFmtId="1" fontId="0" fillId="0" borderId="0" xfId="0" applyNumberFormat="1" applyProtection="1"/>
    <xf numFmtId="0" fontId="0" fillId="0" borderId="0" xfId="0" applyAlignment="1" applyProtection="1">
      <alignment horizontal="center"/>
    </xf>
    <xf numFmtId="0" fontId="1" fillId="0" borderId="0" xfId="0" applyFont="1" applyProtection="1"/>
    <xf numFmtId="0" fontId="12" fillId="0" borderId="0" xfId="0" applyFont="1" applyAlignment="1" applyProtection="1"/>
    <xf numFmtId="0" fontId="3" fillId="0" borderId="0" xfId="0" applyFont="1" applyAlignment="1" applyProtection="1">
      <alignment horizontal="left" vertical="center"/>
    </xf>
    <xf numFmtId="0" fontId="19" fillId="10" borderId="0" xfId="0" applyFont="1" applyFill="1" applyBorder="1" applyProtection="1"/>
    <xf numFmtId="0" fontId="19" fillId="10" borderId="0" xfId="0" applyFont="1" applyFill="1" applyBorder="1" applyAlignment="1" applyProtection="1"/>
    <xf numFmtId="0" fontId="18" fillId="8" borderId="0" xfId="0" applyFont="1" applyFill="1" applyBorder="1" applyProtection="1"/>
    <xf numFmtId="0" fontId="1" fillId="0" borderId="0" xfId="0" applyFont="1" applyProtection="1">
      <protection locked="0"/>
    </xf>
    <xf numFmtId="0" fontId="19" fillId="10" borderId="0" xfId="0" applyFont="1" applyFill="1" applyBorder="1" applyAlignment="1" applyProtection="1">
      <alignment horizontal="center"/>
    </xf>
    <xf numFmtId="0" fontId="16" fillId="0" borderId="0" xfId="0" applyFont="1" applyAlignment="1" applyProtection="1">
      <alignment horizontal="center" vertical="center"/>
      <protection hidden="1"/>
    </xf>
    <xf numFmtId="0" fontId="16" fillId="0" borderId="0" xfId="0" applyFont="1" applyAlignment="1" applyProtection="1">
      <alignment horizontal="center"/>
      <protection hidden="1"/>
    </xf>
    <xf numFmtId="0" fontId="17" fillId="0" borderId="0" xfId="0" applyFont="1" applyAlignment="1" applyProtection="1">
      <alignment horizontal="center"/>
      <protection hidden="1"/>
    </xf>
    <xf numFmtId="0" fontId="17" fillId="0" borderId="0" xfId="0" applyFont="1" applyAlignment="1" applyProtection="1">
      <alignment horizontal="center" vertical="center"/>
      <protection hidden="1"/>
    </xf>
    <xf numFmtId="0" fontId="10" fillId="0" borderId="0" xfId="0" applyFont="1" applyAlignment="1" applyProtection="1">
      <alignment horizontal="center"/>
    </xf>
    <xf numFmtId="0" fontId="1" fillId="0" borderId="0" xfId="0" applyFont="1" applyAlignment="1" applyProtection="1">
      <alignment horizontal="center"/>
    </xf>
    <xf numFmtId="0" fontId="0" fillId="12" borderId="0" xfId="0" applyNumberFormat="1" applyFont="1" applyFill="1" applyBorder="1"/>
    <xf numFmtId="0" fontId="0" fillId="12" borderId="0" xfId="0" applyFont="1" applyFill="1" applyBorder="1"/>
    <xf numFmtId="14" fontId="0" fillId="12" borderId="0" xfId="0" applyNumberFormat="1" applyFont="1" applyFill="1" applyBorder="1" applyAlignment="1">
      <alignment horizontal="center"/>
    </xf>
    <xf numFmtId="0" fontId="0" fillId="12" borderId="0" xfId="0" applyFont="1" applyFill="1" applyBorder="1" applyAlignment="1">
      <alignment horizontal="center"/>
    </xf>
    <xf numFmtId="0" fontId="0" fillId="0" borderId="1" xfId="0" applyBorder="1" applyProtection="1"/>
    <xf numFmtId="14" fontId="0" fillId="14" borderId="13" xfId="0" applyNumberFormat="1" applyFont="1" applyFill="1" applyBorder="1" applyProtection="1">
      <protection hidden="1"/>
    </xf>
    <xf numFmtId="14" fontId="0" fillId="14" borderId="13" xfId="0" applyNumberFormat="1" applyFont="1" applyFill="1" applyBorder="1" applyAlignment="1" applyProtection="1">
      <alignment horizontal="center"/>
      <protection hidden="1"/>
    </xf>
    <xf numFmtId="14" fontId="0" fillId="15" borderId="13" xfId="0" applyNumberFormat="1" applyFont="1" applyFill="1" applyBorder="1" applyAlignment="1" applyProtection="1">
      <alignment horizontal="center"/>
      <protection hidden="1"/>
    </xf>
    <xf numFmtId="0" fontId="0" fillId="14" borderId="13" xfId="0" applyFont="1" applyFill="1" applyBorder="1" applyProtection="1">
      <protection hidden="1"/>
    </xf>
    <xf numFmtId="0" fontId="0" fillId="13" borderId="13" xfId="0" applyNumberFormat="1" applyFont="1" applyFill="1" applyBorder="1" applyProtection="1">
      <protection hidden="1"/>
    </xf>
    <xf numFmtId="0" fontId="0" fillId="12" borderId="13" xfId="0" applyNumberFormat="1" applyFont="1" applyFill="1" applyBorder="1" applyProtection="1">
      <protection hidden="1"/>
    </xf>
    <xf numFmtId="0" fontId="10" fillId="0" borderId="1" xfId="0" applyFont="1" applyBorder="1" applyProtection="1">
      <protection hidden="1"/>
    </xf>
    <xf numFmtId="0" fontId="0" fillId="0" borderId="1" xfId="0" applyBorder="1" applyProtection="1">
      <protection hidden="1"/>
    </xf>
    <xf numFmtId="0" fontId="2" fillId="4" borderId="1" xfId="0" applyFont="1" applyFill="1" applyBorder="1" applyAlignment="1" applyProtection="1">
      <alignment horizontal="center" vertical="center"/>
      <protection hidden="1"/>
    </xf>
    <xf numFmtId="0" fontId="25" fillId="4" borderId="1" xfId="0" applyFont="1" applyFill="1" applyBorder="1" applyAlignment="1" applyProtection="1">
      <alignment horizontal="center" vertical="center"/>
      <protection hidden="1"/>
    </xf>
    <xf numFmtId="0" fontId="0" fillId="13" borderId="13" xfId="0" applyFont="1" applyFill="1" applyBorder="1" applyAlignment="1" applyProtection="1">
      <alignment horizontal="center"/>
      <protection locked="0"/>
    </xf>
    <xf numFmtId="0" fontId="0" fillId="12" borderId="3" xfId="0" applyFont="1" applyFill="1" applyBorder="1" applyAlignment="1" applyProtection="1">
      <alignment horizontal="center"/>
      <protection locked="0"/>
    </xf>
    <xf numFmtId="0" fontId="0" fillId="13" borderId="3" xfId="0" applyFont="1" applyFill="1" applyBorder="1" applyAlignment="1" applyProtection="1">
      <alignment horizontal="center"/>
      <protection locked="0"/>
    </xf>
    <xf numFmtId="0" fontId="0" fillId="12" borderId="2" xfId="0" applyFill="1" applyBorder="1" applyProtection="1">
      <protection locked="0"/>
    </xf>
    <xf numFmtId="0" fontId="0" fillId="12" borderId="2" xfId="0" applyFont="1" applyFill="1" applyBorder="1" applyProtection="1">
      <protection locked="0"/>
    </xf>
    <xf numFmtId="0" fontId="22" fillId="12" borderId="2" xfId="0" applyFont="1" applyFill="1" applyBorder="1" applyAlignment="1" applyProtection="1">
      <alignment horizontal="center"/>
      <protection locked="0"/>
    </xf>
    <xf numFmtId="0" fontId="0" fillId="13" borderId="2" xfId="0" applyFill="1" applyBorder="1" applyProtection="1">
      <protection locked="0"/>
    </xf>
    <xf numFmtId="0" fontId="0" fillId="13" borderId="13" xfId="0" applyFont="1" applyFill="1" applyBorder="1" applyProtection="1">
      <protection locked="0"/>
    </xf>
    <xf numFmtId="14" fontId="0" fillId="13" borderId="13" xfId="0" applyNumberFormat="1" applyFont="1" applyFill="1" applyBorder="1" applyProtection="1">
      <protection locked="0"/>
    </xf>
    <xf numFmtId="14" fontId="0" fillId="12" borderId="2" xfId="0" applyNumberFormat="1" applyFill="1" applyBorder="1" applyProtection="1">
      <protection locked="0"/>
    </xf>
    <xf numFmtId="14" fontId="0" fillId="13" borderId="2" xfId="0" applyNumberFormat="1" applyFill="1" applyBorder="1" applyProtection="1">
      <protection locked="0"/>
    </xf>
    <xf numFmtId="0" fontId="3" fillId="0" borderId="0" xfId="0" applyFont="1" applyAlignment="1" applyProtection="1">
      <alignment horizontal="left" vertical="center"/>
      <protection locked="0"/>
    </xf>
    <xf numFmtId="0" fontId="29" fillId="0" borderId="0" xfId="0" applyFont="1" applyBorder="1" applyProtection="1">
      <protection locked="0"/>
    </xf>
    <xf numFmtId="0" fontId="29" fillId="0" borderId="0" xfId="0" applyFont="1"/>
    <xf numFmtId="0" fontId="29" fillId="0" borderId="0" xfId="0" applyFont="1" applyBorder="1" applyAlignment="1" applyProtection="1">
      <alignment horizontal="center" vertical="center"/>
      <protection locked="0"/>
    </xf>
    <xf numFmtId="0" fontId="0" fillId="0" borderId="0" xfId="0" applyAlignment="1">
      <alignment horizontal="center" vertical="center"/>
    </xf>
    <xf numFmtId="0" fontId="28" fillId="2" borderId="24" xfId="0" applyFont="1" applyFill="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31" fillId="0" borderId="23" xfId="0" applyFont="1" applyBorder="1" applyAlignment="1" applyProtection="1">
      <alignment horizontal="center" vertical="center" wrapText="1"/>
      <protection locked="0"/>
    </xf>
    <xf numFmtId="0" fontId="34" fillId="18" borderId="17" xfId="0" applyFont="1" applyFill="1" applyBorder="1" applyAlignment="1" applyProtection="1">
      <alignment horizontal="center" vertical="center"/>
      <protection hidden="1"/>
    </xf>
    <xf numFmtId="0" fontId="34" fillId="18" borderId="26" xfId="0" applyFont="1" applyFill="1" applyBorder="1" applyAlignment="1" applyProtection="1">
      <alignment horizontal="center" vertical="center"/>
      <protection hidden="1"/>
    </xf>
    <xf numFmtId="0" fontId="34" fillId="18" borderId="1" xfId="0" applyFont="1" applyFill="1" applyBorder="1" applyAlignment="1" applyProtection="1">
      <alignment horizontal="center" vertical="center"/>
      <protection hidden="1"/>
    </xf>
    <xf numFmtId="0" fontId="34" fillId="18" borderId="27" xfId="0" applyFont="1" applyFill="1" applyBorder="1" applyAlignment="1" applyProtection="1">
      <alignment horizontal="center" vertical="center"/>
      <protection hidden="1"/>
    </xf>
    <xf numFmtId="14" fontId="0" fillId="0" borderId="0" xfId="0" applyNumberFormat="1"/>
    <xf numFmtId="0" fontId="0" fillId="19" borderId="1" xfId="0" applyFill="1" applyBorder="1" applyAlignment="1">
      <alignment horizontal="center"/>
    </xf>
    <xf numFmtId="14" fontId="0" fillId="2" borderId="1" xfId="0" applyNumberFormat="1" applyFill="1" applyBorder="1" applyAlignment="1">
      <alignment horizontal="center"/>
    </xf>
    <xf numFmtId="0" fontId="0" fillId="0" borderId="1" xfId="0" applyBorder="1"/>
    <xf numFmtId="14" fontId="0" fillId="0" borderId="1" xfId="0" applyNumberFormat="1" applyBorder="1"/>
    <xf numFmtId="0" fontId="0" fillId="0" borderId="0" xfId="0" applyNumberFormat="1"/>
    <xf numFmtId="0" fontId="39" fillId="0" borderId="0" xfId="0" applyFont="1"/>
    <xf numFmtId="0" fontId="0" fillId="0" borderId="1" xfId="0" applyBorder="1" applyAlignment="1" applyProtection="1">
      <alignment horizontal="center" vertical="center"/>
    </xf>
    <xf numFmtId="0" fontId="0" fillId="0" borderId="1" xfId="0" applyFont="1" applyBorder="1" applyProtection="1"/>
    <xf numFmtId="0" fontId="0" fillId="0" borderId="1" xfId="0" applyFont="1" applyBorder="1" applyProtection="1">
      <protection hidden="1"/>
    </xf>
    <xf numFmtId="0" fontId="0" fillId="13" borderId="13" xfId="0" applyFont="1" applyFill="1" applyBorder="1" applyAlignment="1" applyProtection="1">
      <alignment horizontal="center"/>
      <protection hidden="1"/>
    </xf>
    <xf numFmtId="0" fontId="0" fillId="13" borderId="13" xfId="0" applyFont="1" applyFill="1" applyBorder="1" applyProtection="1">
      <protection hidden="1"/>
    </xf>
    <xf numFmtId="0" fontId="0" fillId="16" borderId="15" xfId="0" applyFill="1" applyBorder="1" applyAlignment="1" applyProtection="1">
      <alignment vertical="center" wrapText="1"/>
    </xf>
    <xf numFmtId="0" fontId="0" fillId="16" borderId="0" xfId="0" applyFill="1" applyBorder="1" applyAlignment="1" applyProtection="1">
      <alignment vertical="center" wrapText="1"/>
    </xf>
    <xf numFmtId="0" fontId="0" fillId="2" borderId="0" xfId="0" applyFill="1"/>
    <xf numFmtId="0" fontId="0" fillId="2" borderId="1" xfId="0" applyFill="1" applyBorder="1"/>
    <xf numFmtId="0" fontId="0" fillId="2" borderId="0" xfId="0" applyFill="1" applyBorder="1"/>
    <xf numFmtId="0" fontId="0" fillId="2" borderId="0" xfId="0" applyFill="1" applyProtection="1"/>
    <xf numFmtId="0" fontId="42" fillId="4" borderId="7" xfId="0" applyFont="1" applyFill="1" applyBorder="1" applyAlignment="1" applyProtection="1">
      <alignment horizontal="center" vertical="center" wrapText="1"/>
      <protection hidden="1"/>
    </xf>
    <xf numFmtId="0" fontId="0" fillId="2" borderId="1" xfId="0" applyFill="1" applyBorder="1" applyAlignment="1">
      <alignment horizontal="center"/>
    </xf>
    <xf numFmtId="14" fontId="30" fillId="0" borderId="0" xfId="0" applyNumberFormat="1" applyFont="1" applyBorder="1" applyAlignment="1" applyProtection="1">
      <alignment horizontal="center" vertical="center" wrapText="1"/>
      <protection locked="0"/>
    </xf>
    <xf numFmtId="0" fontId="0" fillId="15" borderId="1" xfId="0" applyFill="1" applyBorder="1" applyProtection="1">
      <protection locked="0"/>
    </xf>
    <xf numFmtId="0" fontId="35" fillId="7" borderId="1" xfId="0" applyFont="1" applyFill="1" applyBorder="1" applyAlignment="1" applyProtection="1">
      <alignment horizontal="center" vertical="center"/>
      <protection hidden="1"/>
    </xf>
    <xf numFmtId="0" fontId="35" fillId="7" borderId="26"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protection hidden="1"/>
    </xf>
    <xf numFmtId="0" fontId="43" fillId="22" borderId="42" xfId="0" applyFont="1" applyFill="1" applyBorder="1"/>
    <xf numFmtId="0" fontId="0" fillId="0" borderId="6" xfId="0" applyBorder="1"/>
    <xf numFmtId="14" fontId="0" fillId="0" borderId="6" xfId="0" applyNumberFormat="1" applyBorder="1"/>
    <xf numFmtId="0" fontId="0" fillId="2" borderId="6" xfId="0" applyFill="1" applyBorder="1"/>
    <xf numFmtId="0" fontId="0" fillId="23" borderId="6" xfId="0" applyFill="1" applyBorder="1"/>
    <xf numFmtId="0" fontId="0" fillId="23" borderId="41" xfId="0" applyFill="1" applyBorder="1"/>
    <xf numFmtId="0" fontId="0" fillId="23" borderId="41" xfId="0" applyNumberFormat="1" applyFill="1" applyBorder="1"/>
    <xf numFmtId="0" fontId="0" fillId="12" borderId="0" xfId="0" applyFill="1"/>
    <xf numFmtId="0" fontId="53" fillId="0" borderId="0" xfId="0" applyFont="1" applyFill="1" applyBorder="1"/>
    <xf numFmtId="0" fontId="54" fillId="27" borderId="0" xfId="0" applyFont="1" applyFill="1" applyBorder="1" applyAlignment="1" applyProtection="1">
      <alignment vertical="top" wrapText="1"/>
      <protection hidden="1"/>
    </xf>
    <xf numFmtId="0" fontId="57" fillId="29" borderId="6" xfId="0" applyFont="1" applyFill="1" applyBorder="1" applyAlignment="1" applyProtection="1">
      <alignment vertical="center"/>
      <protection hidden="1"/>
    </xf>
    <xf numFmtId="0" fontId="54" fillId="0" borderId="39" xfId="0" applyFont="1" applyFill="1" applyBorder="1" applyAlignment="1" applyProtection="1">
      <alignment wrapText="1"/>
      <protection hidden="1"/>
    </xf>
    <xf numFmtId="0" fontId="57" fillId="29" borderId="1" xfId="0" applyFont="1" applyFill="1" applyBorder="1" applyAlignment="1" applyProtection="1">
      <alignment vertical="center"/>
      <protection hidden="1"/>
    </xf>
    <xf numFmtId="0" fontId="57" fillId="0" borderId="20" xfId="0" applyFont="1" applyFill="1" applyBorder="1" applyAlignment="1" applyProtection="1">
      <alignment vertical="top" wrapText="1"/>
      <protection hidden="1"/>
    </xf>
    <xf numFmtId="0" fontId="39" fillId="30" borderId="49" xfId="0" applyFont="1" applyFill="1" applyBorder="1" applyAlignment="1">
      <alignment horizontal="center" vertical="center"/>
    </xf>
    <xf numFmtId="0" fontId="39" fillId="30" borderId="49" xfId="0" applyFont="1" applyFill="1" applyBorder="1" applyAlignment="1">
      <alignment horizontal="center" vertical="center"/>
    </xf>
    <xf numFmtId="14" fontId="41" fillId="0" borderId="0" xfId="0" applyNumberFormat="1" applyFont="1" applyAlignment="1" applyProtection="1">
      <alignment vertical="center"/>
      <protection hidden="1"/>
    </xf>
    <xf numFmtId="0" fontId="39" fillId="13" borderId="13" xfId="0" applyFont="1" applyFill="1" applyBorder="1" applyProtection="1">
      <protection hidden="1"/>
    </xf>
    <xf numFmtId="14" fontId="39" fillId="13" borderId="13" xfId="0" applyNumberFormat="1" applyFont="1" applyFill="1" applyBorder="1" applyProtection="1">
      <protection hidden="1"/>
    </xf>
    <xf numFmtId="0" fontId="39" fillId="13" borderId="13" xfId="0" applyFont="1" applyFill="1" applyBorder="1" applyAlignment="1" applyProtection="1">
      <alignment horizontal="center"/>
      <protection hidden="1"/>
    </xf>
    <xf numFmtId="0" fontId="39" fillId="12" borderId="13" xfId="0" applyNumberFormat="1" applyFont="1" applyFill="1" applyBorder="1" applyProtection="1">
      <protection hidden="1"/>
    </xf>
    <xf numFmtId="0" fontId="0" fillId="12" borderId="2" xfId="0" applyFill="1" applyBorder="1" applyProtection="1"/>
    <xf numFmtId="0" fontId="22" fillId="12" borderId="2" xfId="0" applyFont="1" applyFill="1" applyBorder="1" applyAlignment="1" applyProtection="1">
      <alignment horizontal="center"/>
    </xf>
    <xf numFmtId="14" fontId="0" fillId="12" borderId="2" xfId="0" applyNumberFormat="1" applyFill="1" applyBorder="1" applyProtection="1"/>
    <xf numFmtId="0" fontId="0" fillId="13" borderId="13" xfId="0" applyFont="1" applyFill="1" applyBorder="1" applyAlignment="1" applyProtection="1">
      <alignment horizontal="center"/>
    </xf>
    <xf numFmtId="0" fontId="0" fillId="12" borderId="13" xfId="0" applyNumberFormat="1" applyFill="1" applyBorder="1" applyProtection="1"/>
    <xf numFmtId="0" fontId="0" fillId="13" borderId="2" xfId="0" applyFill="1" applyBorder="1" applyProtection="1"/>
    <xf numFmtId="0" fontId="0" fillId="12" borderId="2" xfId="0" applyFont="1" applyFill="1" applyBorder="1" applyProtection="1"/>
    <xf numFmtId="0" fontId="0" fillId="0" borderId="28" xfId="0" applyBorder="1" applyProtection="1">
      <protection hidden="1"/>
    </xf>
    <xf numFmtId="0" fontId="28" fillId="0" borderId="0" xfId="0" applyFont="1" applyBorder="1" applyAlignment="1" applyProtection="1">
      <alignment vertical="center"/>
      <protection locked="0"/>
    </xf>
    <xf numFmtId="0" fontId="28" fillId="0" borderId="0" xfId="0" applyFont="1" applyBorder="1" applyAlignment="1" applyProtection="1">
      <alignment vertical="center"/>
      <protection hidden="1"/>
    </xf>
    <xf numFmtId="0" fontId="0" fillId="15" borderId="0" xfId="0" applyFill="1"/>
    <xf numFmtId="0" fontId="32" fillId="0" borderId="0" xfId="0" applyFont="1" applyProtection="1">
      <protection locked="0"/>
    </xf>
    <xf numFmtId="0" fontId="1" fillId="0" borderId="0" xfId="0" applyFont="1" applyAlignment="1" applyProtection="1">
      <alignment horizontal="center" vertical="center"/>
      <protection locked="0"/>
    </xf>
    <xf numFmtId="0" fontId="68" fillId="33" borderId="0" xfId="0" applyFont="1" applyFill="1" applyBorder="1" applyAlignment="1" applyProtection="1">
      <alignment horizontal="center" vertical="top"/>
      <protection hidden="1"/>
    </xf>
    <xf numFmtId="0" fontId="69" fillId="33" borderId="12" xfId="0" applyFont="1" applyFill="1" applyBorder="1" applyAlignment="1" applyProtection="1">
      <alignment vertical="top" wrapText="1"/>
      <protection hidden="1"/>
    </xf>
    <xf numFmtId="0" fontId="61" fillId="34" borderId="0" xfId="0" applyFont="1" applyFill="1"/>
    <xf numFmtId="0" fontId="61" fillId="34" borderId="0" xfId="0" applyFont="1" applyFill="1" applyAlignment="1"/>
    <xf numFmtId="0" fontId="39" fillId="30" borderId="52" xfId="0" applyFont="1" applyFill="1" applyBorder="1" applyAlignment="1">
      <alignment horizontal="center" vertical="center"/>
    </xf>
    <xf numFmtId="0" fontId="70" fillId="0" borderId="49" xfId="0" applyNumberFormat="1" applyFont="1" applyBorder="1" applyAlignment="1" applyProtection="1">
      <alignment horizontal="center" vertical="center" wrapText="1"/>
      <protection hidden="1"/>
    </xf>
    <xf numFmtId="0" fontId="39" fillId="0" borderId="28" xfId="0" applyFont="1" applyBorder="1" applyProtection="1">
      <protection hidden="1"/>
    </xf>
    <xf numFmtId="0" fontId="39" fillId="3" borderId="28" xfId="0" applyFont="1" applyFill="1" applyBorder="1" applyAlignment="1" applyProtection="1">
      <alignment horizontal="center"/>
      <protection hidden="1"/>
    </xf>
    <xf numFmtId="0" fontId="39" fillId="3" borderId="0" xfId="0" applyFont="1" applyFill="1"/>
    <xf numFmtId="0" fontId="39" fillId="0" borderId="29" xfId="0" applyFont="1" applyBorder="1" applyProtection="1">
      <protection hidden="1"/>
    </xf>
    <xf numFmtId="0" fontId="39" fillId="3" borderId="29" xfId="0" applyFont="1" applyFill="1" applyBorder="1" applyAlignment="1" applyProtection="1">
      <alignment horizontal="center"/>
      <protection hidden="1"/>
    </xf>
    <xf numFmtId="0" fontId="39" fillId="0" borderId="28" xfId="0" applyFont="1" applyBorder="1" applyProtection="1">
      <protection locked="0"/>
    </xf>
    <xf numFmtId="9" fontId="39" fillId="0" borderId="28" xfId="0" applyNumberFormat="1" applyFont="1" applyBorder="1" applyAlignment="1" applyProtection="1">
      <alignment horizontal="center"/>
      <protection locked="0"/>
    </xf>
    <xf numFmtId="0" fontId="39" fillId="0" borderId="29" xfId="0" applyFont="1" applyBorder="1" applyProtection="1">
      <protection locked="0"/>
    </xf>
    <xf numFmtId="9" fontId="39" fillId="0" borderId="29" xfId="0" applyNumberFormat="1" applyFont="1" applyBorder="1" applyAlignment="1" applyProtection="1">
      <alignment horizontal="center" vertical="center"/>
      <protection locked="0"/>
    </xf>
    <xf numFmtId="0" fontId="38" fillId="32" borderId="49" xfId="0" applyFont="1" applyFill="1" applyBorder="1" applyAlignment="1">
      <alignment horizontal="center"/>
    </xf>
    <xf numFmtId="0" fontId="61" fillId="0" borderId="0" xfId="0" applyFont="1"/>
    <xf numFmtId="14" fontId="70" fillId="32" borderId="49" xfId="0" applyNumberFormat="1" applyFont="1" applyFill="1" applyBorder="1" applyAlignment="1" applyProtection="1">
      <alignment horizontal="center" vertical="center" wrapText="1"/>
      <protection hidden="1"/>
    </xf>
    <xf numFmtId="14" fontId="70" fillId="0" borderId="49" xfId="0" applyNumberFormat="1" applyFont="1" applyBorder="1" applyAlignment="1" applyProtection="1">
      <alignment horizontal="center" vertical="center" wrapText="1"/>
      <protection locked="0" hidden="1"/>
    </xf>
    <xf numFmtId="0" fontId="29" fillId="2" borderId="1" xfId="0" applyFont="1" applyFill="1" applyBorder="1" applyProtection="1">
      <protection locked="0"/>
    </xf>
    <xf numFmtId="0" fontId="29" fillId="3" borderId="1" xfId="0" applyFont="1" applyFill="1" applyBorder="1" applyProtection="1">
      <protection locked="0"/>
    </xf>
    <xf numFmtId="0" fontId="46" fillId="0" borderId="49" xfId="0" applyFont="1" applyBorder="1" applyAlignment="1" applyProtection="1">
      <alignment horizontal="center" vertical="center"/>
      <protection locked="0"/>
    </xf>
    <xf numFmtId="0" fontId="38" fillId="12" borderId="49" xfId="0" applyFont="1" applyFill="1" applyBorder="1" applyAlignment="1" applyProtection="1">
      <alignment horizontal="center" vertical="center"/>
      <protection locked="0"/>
    </xf>
    <xf numFmtId="0" fontId="43" fillId="12" borderId="49" xfId="0" applyFont="1" applyFill="1" applyBorder="1" applyAlignment="1" applyProtection="1">
      <alignment horizontal="center" vertical="center"/>
      <protection locked="0"/>
    </xf>
    <xf numFmtId="0" fontId="38" fillId="12" borderId="49" xfId="0" applyFont="1" applyFill="1" applyBorder="1" applyAlignment="1" applyProtection="1">
      <alignment horizontal="center"/>
      <protection locked="0"/>
    </xf>
    <xf numFmtId="0" fontId="0" fillId="0" borderId="32" xfId="0" applyBorder="1" applyProtection="1">
      <protection hidden="1"/>
    </xf>
    <xf numFmtId="0" fontId="0" fillId="0" borderId="33" xfId="0" applyBorder="1" applyProtection="1">
      <protection hidden="1"/>
    </xf>
    <xf numFmtId="0" fontId="0" fillId="0" borderId="35" xfId="0" applyBorder="1" applyProtection="1">
      <protection hidden="1"/>
    </xf>
    <xf numFmtId="0" fontId="0" fillId="20" borderId="0" xfId="0" applyFill="1" applyProtection="1">
      <protection locked="0"/>
    </xf>
    <xf numFmtId="0" fontId="67" fillId="20" borderId="0" xfId="0" applyFont="1" applyFill="1" applyProtection="1">
      <protection locked="0"/>
    </xf>
    <xf numFmtId="0" fontId="67" fillId="0" borderId="0" xfId="0" applyFont="1" applyProtection="1">
      <protection locked="0"/>
    </xf>
    <xf numFmtId="0" fontId="1" fillId="20" borderId="0" xfId="0" applyFont="1" applyFill="1" applyAlignment="1" applyProtection="1">
      <alignment vertical="center"/>
      <protection locked="0"/>
    </xf>
    <xf numFmtId="0" fontId="1" fillId="0" borderId="0" xfId="0" applyFont="1" applyAlignment="1" applyProtection="1">
      <alignment vertical="center"/>
      <protection locked="0"/>
    </xf>
    <xf numFmtId="0" fontId="39" fillId="0" borderId="0" xfId="0" applyFont="1" applyProtection="1">
      <protection locked="0"/>
    </xf>
    <xf numFmtId="0" fontId="38" fillId="0" borderId="0" xfId="0" applyFont="1" applyBorder="1" applyAlignment="1" applyProtection="1">
      <protection locked="0"/>
    </xf>
    <xf numFmtId="0" fontId="0" fillId="0" borderId="30" xfId="0" applyBorder="1" applyAlignment="1" applyProtection="1">
      <alignment horizontal="center"/>
      <protection locked="0"/>
    </xf>
    <xf numFmtId="0" fontId="0" fillId="0" borderId="32" xfId="0" applyBorder="1" applyProtection="1">
      <protection locked="0"/>
    </xf>
    <xf numFmtId="0" fontId="0" fillId="0" borderId="33" xfId="0" applyBorder="1" applyProtection="1">
      <protection locked="0"/>
    </xf>
    <xf numFmtId="14" fontId="46" fillId="0" borderId="49" xfId="0" applyNumberFormat="1" applyFont="1" applyBorder="1" applyAlignment="1" applyProtection="1">
      <alignment horizontal="center" vertical="center"/>
      <protection locked="0"/>
    </xf>
    <xf numFmtId="0" fontId="0" fillId="2" borderId="53" xfId="0" applyFill="1" applyBorder="1" applyAlignment="1">
      <alignment horizontal="center" vertical="center"/>
    </xf>
    <xf numFmtId="0" fontId="65" fillId="0" borderId="1" xfId="0" applyFont="1" applyBorder="1" applyAlignment="1" applyProtection="1">
      <alignment horizontal="center"/>
    </xf>
    <xf numFmtId="0" fontId="38" fillId="0" borderId="1" xfId="0" applyFont="1" applyBorder="1" applyProtection="1"/>
    <xf numFmtId="0" fontId="14" fillId="0" borderId="0" xfId="0" applyFont="1" applyAlignment="1" applyProtection="1">
      <alignment horizontal="center"/>
    </xf>
    <xf numFmtId="0" fontId="58" fillId="6"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locked="0" hidden="1"/>
    </xf>
    <xf numFmtId="0" fontId="47" fillId="0" borderId="0" xfId="0" applyNumberFormat="1" applyFont="1" applyBorder="1" applyAlignment="1" applyProtection="1">
      <alignment horizontal="center" vertical="center" wrapText="1"/>
      <protection hidden="1"/>
    </xf>
    <xf numFmtId="14" fontId="46" fillId="0" borderId="49" xfId="0" applyNumberFormat="1" applyFont="1" applyBorder="1" applyAlignment="1" applyProtection="1">
      <alignment vertical="center"/>
      <protection locked="0"/>
    </xf>
    <xf numFmtId="0" fontId="16" fillId="0" borderId="0" xfId="0" applyFont="1" applyAlignment="1" applyProtection="1">
      <alignment horizontal="center"/>
      <protection hidden="1"/>
    </xf>
    <xf numFmtId="0" fontId="17" fillId="0" borderId="0" xfId="0" applyFont="1" applyAlignment="1" applyProtection="1">
      <alignment horizont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39" fillId="30" borderId="49" xfId="0" applyFont="1" applyFill="1" applyBorder="1" applyAlignment="1">
      <alignment horizontal="center" vertical="center"/>
    </xf>
    <xf numFmtId="0" fontId="0" fillId="0" borderId="1" xfId="0" applyBorder="1" applyAlignment="1">
      <alignment horizontal="center" vertical="center"/>
    </xf>
    <xf numFmtId="0" fontId="0" fillId="13" borderId="13" xfId="0" applyFont="1" applyFill="1" applyBorder="1" applyAlignment="1" applyProtection="1">
      <alignment horizontal="center" vertical="center"/>
      <protection locked="0" hidden="1"/>
    </xf>
    <xf numFmtId="14" fontId="0" fillId="0" borderId="1" xfId="0" applyNumberFormat="1" applyBorder="1" applyProtection="1">
      <protection locked="0"/>
    </xf>
    <xf numFmtId="0" fontId="46" fillId="31" borderId="49" xfId="0" applyFont="1" applyFill="1" applyBorder="1" applyAlignment="1" applyProtection="1">
      <alignment horizontal="center" vertical="center"/>
      <protection locked="0"/>
    </xf>
    <xf numFmtId="0" fontId="78" fillId="0" borderId="0" xfId="0" applyFont="1" applyAlignment="1">
      <alignment horizontal="right"/>
    </xf>
    <xf numFmtId="0" fontId="22" fillId="12" borderId="2" xfId="0" applyFont="1" applyFill="1" applyBorder="1" applyAlignment="1" applyProtection="1">
      <alignment horizontal="center" vertical="center" wrapText="1"/>
      <protection hidden="1"/>
    </xf>
    <xf numFmtId="14" fontId="22" fillId="12" borderId="2" xfId="0" applyNumberFormat="1" applyFont="1" applyFill="1" applyBorder="1" applyAlignment="1" applyProtection="1">
      <alignment horizontal="center" vertical="center" wrapText="1"/>
      <protection hidden="1"/>
    </xf>
    <xf numFmtId="14" fontId="32" fillId="12" borderId="2" xfId="0" applyNumberFormat="1" applyFont="1" applyFill="1" applyBorder="1" applyProtection="1">
      <protection hidden="1"/>
    </xf>
    <xf numFmtId="14" fontId="0" fillId="12" borderId="2" xfId="0" applyNumberFormat="1" applyFill="1" applyBorder="1" applyAlignment="1" applyProtection="1">
      <alignment wrapText="1"/>
      <protection hidden="1"/>
    </xf>
    <xf numFmtId="0" fontId="0" fillId="12" borderId="13" xfId="0" applyNumberFormat="1" applyFill="1" applyBorder="1" applyAlignment="1" applyProtection="1">
      <alignment horizontal="center"/>
      <protection hidden="1"/>
    </xf>
    <xf numFmtId="0" fontId="32" fillId="0" borderId="0" xfId="0" applyFont="1" applyProtection="1">
      <protection hidden="1"/>
    </xf>
    <xf numFmtId="0" fontId="0" fillId="0" borderId="0" xfId="0" applyAlignment="1">
      <alignment wrapText="1"/>
    </xf>
    <xf numFmtId="0" fontId="39" fillId="20" borderId="0" xfId="0" applyFont="1" applyFill="1" applyProtection="1">
      <protection locked="0"/>
    </xf>
    <xf numFmtId="0" fontId="80" fillId="20" borderId="0" xfId="0" applyFont="1" applyFill="1" applyProtection="1">
      <protection locked="0"/>
    </xf>
    <xf numFmtId="0" fontId="81" fillId="20" borderId="0" xfId="0" applyFont="1" applyFill="1" applyProtection="1">
      <protection locked="0"/>
    </xf>
    <xf numFmtId="0" fontId="82" fillId="20" borderId="0" xfId="0" applyFont="1" applyFill="1" applyAlignment="1" applyProtection="1">
      <alignment vertical="center"/>
      <protection locked="0"/>
    </xf>
    <xf numFmtId="0" fontId="80" fillId="0" borderId="0" xfId="0" applyFont="1" applyProtection="1">
      <protection locked="0"/>
    </xf>
    <xf numFmtId="0" fontId="39" fillId="30" borderId="49" xfId="0" applyFont="1" applyFill="1" applyBorder="1" applyAlignment="1">
      <alignment horizontal="center" vertical="center"/>
    </xf>
    <xf numFmtId="14" fontId="0" fillId="13" borderId="13" xfId="0" applyNumberFormat="1" applyFont="1" applyFill="1" applyBorder="1" applyProtection="1">
      <protection hidden="1"/>
    </xf>
    <xf numFmtId="14" fontId="0" fillId="13" borderId="13" xfId="0" applyNumberFormat="1" applyFont="1" applyFill="1" applyBorder="1" applyAlignment="1" applyProtection="1">
      <alignment horizontal="center"/>
      <protection hidden="1"/>
    </xf>
    <xf numFmtId="14" fontId="79" fillId="13" borderId="13" xfId="0" applyNumberFormat="1" applyFont="1" applyFill="1" applyBorder="1" applyAlignment="1" applyProtection="1">
      <alignment horizontal="center" vertical="center"/>
      <protection locked="0" hidden="1"/>
    </xf>
    <xf numFmtId="14" fontId="40" fillId="13" borderId="13" xfId="0" applyNumberFormat="1" applyFont="1" applyFill="1" applyBorder="1" applyAlignment="1" applyProtection="1">
      <alignment horizontal="center" vertical="center"/>
      <protection hidden="1"/>
    </xf>
    <xf numFmtId="0" fontId="0" fillId="14" borderId="13" xfId="0" applyFont="1" applyFill="1" applyBorder="1" applyAlignment="1" applyProtection="1">
      <alignment horizontal="center"/>
      <protection locked="0"/>
    </xf>
    <xf numFmtId="0" fontId="0" fillId="14" borderId="13" xfId="0" applyFont="1" applyFill="1" applyBorder="1" applyProtection="1">
      <protection locked="0" hidden="1"/>
    </xf>
    <xf numFmtId="0" fontId="0" fillId="13" borderId="49" xfId="0" applyFont="1" applyFill="1" applyBorder="1" applyAlignment="1" applyProtection="1">
      <alignment horizontal="center"/>
      <protection locked="0"/>
    </xf>
    <xf numFmtId="0" fontId="39" fillId="15" borderId="0" xfId="0" applyFont="1" applyFill="1" applyBorder="1" applyAlignment="1">
      <alignment horizontal="center"/>
    </xf>
    <xf numFmtId="0" fontId="39" fillId="30" borderId="49" xfId="0" applyFont="1" applyFill="1" applyBorder="1" applyAlignment="1">
      <alignment horizontal="center" vertical="center"/>
    </xf>
    <xf numFmtId="0" fontId="39" fillId="0" borderId="49" xfId="0" applyFont="1" applyBorder="1" applyAlignment="1" applyProtection="1">
      <alignment vertical="center"/>
      <protection locked="0"/>
    </xf>
    <xf numFmtId="0" fontId="65" fillId="0" borderId="49" xfId="0" applyFont="1" applyBorder="1" applyAlignment="1" applyProtection="1">
      <alignment vertical="center"/>
      <protection locked="0"/>
    </xf>
    <xf numFmtId="0" fontId="85" fillId="0" borderId="0" xfId="0" applyFont="1" applyProtection="1"/>
    <xf numFmtId="0" fontId="53" fillId="2" borderId="0" xfId="0" applyFont="1" applyFill="1" applyBorder="1"/>
    <xf numFmtId="0" fontId="23" fillId="6" borderId="0" xfId="0" applyFont="1" applyFill="1" applyAlignment="1" applyProtection="1">
      <alignment horizontal="center" vertical="center"/>
      <protection hidden="1"/>
    </xf>
    <xf numFmtId="0" fontId="16" fillId="0" borderId="0" xfId="0" applyFont="1" applyAlignment="1" applyProtection="1">
      <alignment horizontal="center"/>
      <protection hidden="1"/>
    </xf>
    <xf numFmtId="0" fontId="17" fillId="0" borderId="0" xfId="0" applyFont="1" applyAlignment="1" applyProtection="1">
      <alignment horizontal="center"/>
      <protection hidden="1"/>
    </xf>
    <xf numFmtId="0" fontId="12" fillId="0" borderId="0" xfId="0" applyFont="1" applyAlignment="1" applyProtection="1">
      <alignment horizontal="left"/>
    </xf>
    <xf numFmtId="0" fontId="14" fillId="0" borderId="0" xfId="0" applyFont="1" applyAlignment="1" applyProtection="1">
      <alignment horizontal="center"/>
    </xf>
    <xf numFmtId="0" fontId="12" fillId="0" borderId="0" xfId="0" applyNumberFormat="1" applyFont="1" applyBorder="1" applyAlignment="1" applyProtection="1">
      <alignment horizontal="center" vertical="top" wrapText="1"/>
      <protection locked="0"/>
    </xf>
    <xf numFmtId="0" fontId="12" fillId="0" borderId="11" xfId="0" applyNumberFormat="1" applyFont="1" applyBorder="1" applyAlignment="1" applyProtection="1">
      <alignment horizontal="center" vertical="top" wrapText="1"/>
      <protection locked="0"/>
    </xf>
    <xf numFmtId="0" fontId="2" fillId="4" borderId="7" xfId="0" applyFont="1" applyFill="1" applyBorder="1" applyAlignment="1" applyProtection="1">
      <alignment horizontal="center" vertical="center" wrapText="1"/>
      <protection hidden="1"/>
    </xf>
    <xf numFmtId="0" fontId="0" fillId="4" borderId="6" xfId="0" applyFill="1" applyBorder="1" applyAlignment="1" applyProtection="1">
      <alignment horizontal="center" vertical="center"/>
      <protection hidden="1"/>
    </xf>
    <xf numFmtId="0" fontId="2" fillId="4" borderId="9" xfId="0" applyFont="1" applyFill="1" applyBorder="1" applyAlignment="1" applyProtection="1">
      <alignment horizontal="center" vertical="center" wrapText="1"/>
      <protection hidden="1"/>
    </xf>
    <xf numFmtId="0" fontId="0" fillId="4" borderId="10" xfId="0" applyFill="1" applyBorder="1" applyAlignment="1" applyProtection="1">
      <alignment horizontal="center" vertical="center"/>
      <protection hidden="1"/>
    </xf>
    <xf numFmtId="0" fontId="24" fillId="4" borderId="7" xfId="0" applyFont="1" applyFill="1" applyBorder="1" applyAlignment="1" applyProtection="1">
      <alignment horizontal="center" vertical="center" wrapText="1"/>
      <protection hidden="1"/>
    </xf>
    <xf numFmtId="0" fontId="24" fillId="4" borderId="6"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4" xfId="0" applyFont="1" applyFill="1" applyBorder="1" applyAlignment="1" applyProtection="1">
      <alignment horizontal="center" vertical="center" wrapText="1"/>
      <protection hidden="1"/>
    </xf>
    <xf numFmtId="0" fontId="19" fillId="7" borderId="0" xfId="0" applyFont="1" applyFill="1" applyBorder="1" applyAlignment="1" applyProtection="1">
      <alignment horizontal="center"/>
    </xf>
    <xf numFmtId="0" fontId="19" fillId="10" borderId="0" xfId="0" applyFont="1" applyFill="1" applyBorder="1" applyAlignment="1" applyProtection="1">
      <alignment horizontal="center"/>
    </xf>
    <xf numFmtId="0" fontId="20" fillId="9" borderId="0" xfId="0" applyFont="1" applyFill="1" applyBorder="1" applyAlignment="1" applyProtection="1">
      <alignment horizontal="center" vertical="top" wrapText="1"/>
      <protection hidden="1"/>
    </xf>
    <xf numFmtId="0" fontId="21" fillId="10" borderId="0" xfId="0" applyFont="1" applyFill="1" applyBorder="1" applyAlignment="1" applyProtection="1">
      <alignment horizontal="center"/>
    </xf>
    <xf numFmtId="0" fontId="16"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10" fillId="2" borderId="0" xfId="0" applyFont="1" applyFill="1" applyAlignment="1" applyProtection="1">
      <alignment horizontal="center" vertical="center"/>
    </xf>
    <xf numFmtId="0" fontId="10" fillId="11" borderId="0" xfId="0" applyFont="1" applyFill="1" applyAlignment="1" applyProtection="1">
      <alignment horizontal="center" vertical="center"/>
      <protection locked="0"/>
    </xf>
    <xf numFmtId="0" fontId="0" fillId="16" borderId="15" xfId="0" applyFill="1" applyBorder="1" applyAlignment="1" applyProtection="1">
      <alignment horizontal="center" vertical="center" wrapText="1"/>
    </xf>
    <xf numFmtId="0" fontId="0" fillId="16" borderId="0" xfId="0" applyFill="1" applyBorder="1" applyAlignment="1" applyProtection="1">
      <alignment horizontal="center" vertical="center" wrapText="1"/>
    </xf>
    <xf numFmtId="0" fontId="26" fillId="2" borderId="16" xfId="0" applyFont="1" applyFill="1" applyBorder="1" applyAlignment="1" applyProtection="1">
      <alignment horizontal="center" wrapText="1"/>
    </xf>
    <xf numFmtId="0" fontId="26" fillId="2" borderId="17" xfId="0" applyFont="1" applyFill="1" applyBorder="1" applyAlignment="1" applyProtection="1">
      <alignment horizontal="center" wrapText="1"/>
    </xf>
    <xf numFmtId="0" fontId="26" fillId="2" borderId="18" xfId="0" applyFont="1" applyFill="1" applyBorder="1" applyAlignment="1" applyProtection="1">
      <alignment horizontal="center" wrapText="1"/>
    </xf>
    <xf numFmtId="0" fontId="26" fillId="2" borderId="19" xfId="0" applyFont="1" applyFill="1" applyBorder="1" applyAlignment="1" applyProtection="1">
      <alignment horizontal="center" wrapText="1"/>
    </xf>
    <xf numFmtId="0" fontId="10" fillId="6" borderId="20" xfId="0" applyFont="1" applyFill="1" applyBorder="1" applyAlignment="1" applyProtection="1">
      <alignment horizontal="center" vertical="center" wrapText="1"/>
    </xf>
    <xf numFmtId="0" fontId="10" fillId="6" borderId="21" xfId="0" applyFont="1" applyFill="1" applyBorder="1" applyAlignment="1" applyProtection="1">
      <alignment horizontal="center" vertical="center" wrapText="1"/>
    </xf>
    <xf numFmtId="0" fontId="10" fillId="6" borderId="14" xfId="0" applyFont="1" applyFill="1" applyBorder="1" applyAlignment="1" applyProtection="1">
      <alignment horizontal="center" vertical="center" wrapText="1"/>
    </xf>
    <xf numFmtId="0" fontId="53" fillId="24" borderId="0" xfId="0" applyFont="1" applyFill="1" applyBorder="1" applyAlignment="1">
      <alignment horizontal="center"/>
    </xf>
    <xf numFmtId="0" fontId="51" fillId="25" borderId="45" xfId="0" applyFont="1" applyFill="1" applyBorder="1" applyAlignment="1" applyProtection="1">
      <alignment horizontal="center" vertical="center"/>
      <protection hidden="1"/>
    </xf>
    <xf numFmtId="0" fontId="51" fillId="25" borderId="46" xfId="0" applyFont="1" applyFill="1" applyBorder="1" applyAlignment="1" applyProtection="1">
      <alignment horizontal="center" vertical="center"/>
      <protection hidden="1"/>
    </xf>
    <xf numFmtId="0" fontId="52" fillId="26" borderId="0" xfId="0" applyFont="1" applyFill="1" applyBorder="1" applyAlignment="1" applyProtection="1">
      <alignment horizontal="center"/>
      <protection hidden="1"/>
    </xf>
    <xf numFmtId="0" fontId="55" fillId="28" borderId="47" xfId="0" applyFont="1" applyFill="1" applyBorder="1" applyAlignment="1">
      <alignment horizontal="center" vertical="center"/>
    </xf>
    <xf numFmtId="0" fontId="53" fillId="28" borderId="48" xfId="0" applyFont="1" applyFill="1" applyBorder="1" applyAlignment="1">
      <alignment horizontal="center" vertical="center"/>
    </xf>
    <xf numFmtId="0" fontId="61" fillId="34" borderId="0" xfId="0" applyFont="1" applyFill="1" applyAlignment="1">
      <alignment horizontal="center"/>
    </xf>
    <xf numFmtId="0" fontId="0" fillId="17" borderId="16" xfId="0" applyFill="1" applyBorder="1" applyAlignment="1" applyProtection="1">
      <alignment horizontal="center" vertical="center"/>
    </xf>
    <xf numFmtId="0" fontId="0" fillId="17" borderId="12" xfId="0" applyFill="1" applyBorder="1" applyAlignment="1" applyProtection="1">
      <alignment horizontal="center" vertical="center"/>
    </xf>
    <xf numFmtId="0" fontId="0" fillId="17" borderId="17" xfId="0" applyFill="1" applyBorder="1" applyAlignment="1" applyProtection="1">
      <alignment horizontal="center" vertical="center"/>
    </xf>
    <xf numFmtId="0" fontId="0" fillId="17" borderId="39" xfId="0" applyFill="1" applyBorder="1" applyAlignment="1" applyProtection="1">
      <alignment horizontal="center" vertical="center"/>
    </xf>
    <xf numFmtId="0" fontId="0" fillId="17" borderId="30" xfId="0" applyFill="1" applyBorder="1" applyAlignment="1" applyProtection="1">
      <alignment horizontal="center" vertical="center"/>
    </xf>
    <xf numFmtId="0" fontId="0" fillId="17" borderId="40" xfId="0" applyFill="1" applyBorder="1" applyAlignment="1" applyProtection="1">
      <alignment horizontal="center" vertical="center"/>
    </xf>
    <xf numFmtId="0" fontId="48" fillId="21" borderId="47" xfId="0" applyFont="1" applyFill="1" applyBorder="1" applyAlignment="1">
      <alignment horizontal="center"/>
    </xf>
    <xf numFmtId="0" fontId="48" fillId="21" borderId="50" xfId="0" applyFont="1" applyFill="1" applyBorder="1" applyAlignment="1">
      <alignment horizontal="center"/>
    </xf>
    <xf numFmtId="0" fontId="48" fillId="21" borderId="48" xfId="0" applyFont="1" applyFill="1" applyBorder="1" applyAlignment="1">
      <alignment horizontal="center"/>
    </xf>
    <xf numFmtId="0" fontId="0" fillId="0" borderId="49" xfId="0" applyBorder="1" applyAlignment="1" applyProtection="1">
      <alignment horizontal="left"/>
      <protection locked="0"/>
    </xf>
    <xf numFmtId="0" fontId="15" fillId="2" borderId="20" xfId="0" applyFont="1" applyFill="1" applyBorder="1" applyAlignment="1" applyProtection="1">
      <alignment horizontal="center"/>
      <protection locked="0"/>
    </xf>
    <xf numFmtId="0" fontId="15" fillId="2" borderId="21" xfId="0" applyFont="1" applyFill="1" applyBorder="1" applyAlignment="1" applyProtection="1">
      <alignment horizontal="center"/>
      <protection locked="0"/>
    </xf>
    <xf numFmtId="0" fontId="15" fillId="2" borderId="14" xfId="0" applyFont="1" applyFill="1" applyBorder="1" applyAlignment="1" applyProtection="1">
      <alignment horizontal="center"/>
      <protection locked="0"/>
    </xf>
    <xf numFmtId="0" fontId="39" fillId="30" borderId="51" xfId="0" applyFont="1" applyFill="1" applyBorder="1" applyAlignment="1">
      <alignment horizontal="center" vertical="center"/>
    </xf>
    <xf numFmtId="0" fontId="39" fillId="30" borderId="64" xfId="0" applyFont="1" applyFill="1" applyBorder="1" applyAlignment="1">
      <alignment horizontal="center" vertical="center"/>
    </xf>
    <xf numFmtId="14" fontId="46" fillId="0" borderId="51" xfId="0" applyNumberFormat="1" applyFont="1" applyBorder="1" applyAlignment="1" applyProtection="1">
      <alignment horizontal="center" vertical="center"/>
      <protection locked="0"/>
    </xf>
    <xf numFmtId="14" fontId="46" fillId="0" borderId="52" xfId="0" applyNumberFormat="1" applyFont="1" applyBorder="1" applyAlignment="1" applyProtection="1">
      <alignment horizontal="center" vertical="center"/>
      <protection locked="0"/>
    </xf>
    <xf numFmtId="0" fontId="83" fillId="30" borderId="51" xfId="0" applyFont="1" applyFill="1" applyBorder="1" applyAlignment="1">
      <alignment horizontal="center" vertical="center" wrapText="1"/>
    </xf>
    <xf numFmtId="0" fontId="83" fillId="30" borderId="64" xfId="0" applyFont="1" applyFill="1" applyBorder="1" applyAlignment="1">
      <alignment horizontal="center" vertical="center" wrapText="1"/>
    </xf>
    <xf numFmtId="0" fontId="83" fillId="30" borderId="52" xfId="0" applyFont="1" applyFill="1" applyBorder="1" applyAlignment="1">
      <alignment horizontal="center" vertical="center" wrapText="1"/>
    </xf>
    <xf numFmtId="0" fontId="44" fillId="22" borderId="42" xfId="0" applyFont="1" applyFill="1" applyBorder="1" applyAlignment="1" applyProtection="1">
      <alignment horizontal="center"/>
      <protection locked="0"/>
    </xf>
    <xf numFmtId="0" fontId="39" fillId="0" borderId="49" xfId="0" applyFont="1" applyBorder="1" applyAlignment="1" applyProtection="1">
      <alignment horizontal="center"/>
      <protection locked="0"/>
    </xf>
    <xf numFmtId="0" fontId="39" fillId="30" borderId="49" xfId="0" applyFont="1" applyFill="1" applyBorder="1" applyAlignment="1">
      <alignment horizontal="center" vertical="center"/>
    </xf>
    <xf numFmtId="0" fontId="0" fillId="12" borderId="0" xfId="0" applyFill="1" applyAlignment="1">
      <alignment horizontal="center"/>
    </xf>
    <xf numFmtId="0" fontId="0" fillId="0" borderId="49" xfId="0" applyBorder="1" applyAlignment="1" applyProtection="1">
      <alignment horizontal="center"/>
      <protection locked="0"/>
    </xf>
    <xf numFmtId="0" fontId="0" fillId="17" borderId="51" xfId="0" applyFont="1" applyFill="1" applyBorder="1" applyAlignment="1">
      <alignment horizontal="center"/>
    </xf>
    <xf numFmtId="0" fontId="0" fillId="17" borderId="64" xfId="0" applyFont="1" applyFill="1" applyBorder="1" applyAlignment="1">
      <alignment horizontal="center"/>
    </xf>
    <xf numFmtId="0" fontId="0" fillId="17" borderId="52" xfId="0" applyFont="1" applyFill="1" applyBorder="1" applyAlignment="1">
      <alignment horizontal="center"/>
    </xf>
    <xf numFmtId="0" fontId="13" fillId="21" borderId="15" xfId="0" applyFont="1" applyFill="1" applyBorder="1" applyAlignment="1" applyProtection="1">
      <alignment horizontal="center" vertical="top" textRotation="45"/>
    </xf>
    <xf numFmtId="0" fontId="13" fillId="21" borderId="23" xfId="0" applyFont="1" applyFill="1" applyBorder="1" applyAlignment="1" applyProtection="1">
      <alignment horizontal="center" vertical="top" textRotation="45"/>
    </xf>
    <xf numFmtId="0" fontId="58" fillId="6" borderId="0" xfId="0" applyFont="1" applyFill="1" applyAlignment="1" applyProtection="1">
      <alignment horizontal="center" vertical="center"/>
      <protection hidden="1"/>
    </xf>
    <xf numFmtId="0" fontId="42" fillId="4" borderId="7" xfId="0" applyFont="1" applyFill="1" applyBorder="1" applyAlignment="1" applyProtection="1">
      <alignment horizontal="center" vertical="center" wrapText="1"/>
      <protection hidden="1"/>
    </xf>
    <xf numFmtId="0" fontId="42" fillId="4" borderId="6" xfId="0" applyFont="1" applyFill="1" applyBorder="1" applyAlignment="1" applyProtection="1">
      <alignment horizontal="center" vertical="center" wrapText="1"/>
      <protection hidden="1"/>
    </xf>
    <xf numFmtId="0" fontId="42" fillId="4" borderId="36" xfId="0" applyFont="1" applyFill="1" applyBorder="1" applyAlignment="1" applyProtection="1">
      <alignment horizontal="center" vertical="center" wrapText="1"/>
      <protection hidden="1"/>
    </xf>
    <xf numFmtId="0" fontId="42" fillId="4" borderId="38" xfId="0" applyFont="1" applyFill="1" applyBorder="1" applyAlignment="1" applyProtection="1">
      <alignment horizontal="center" vertical="center" wrapText="1"/>
      <protection hidden="1"/>
    </xf>
    <xf numFmtId="0" fontId="42" fillId="4" borderId="37" xfId="0" applyFont="1" applyFill="1" applyBorder="1" applyAlignment="1" applyProtection="1">
      <alignment horizontal="center" vertical="center" wrapText="1"/>
      <protection hidden="1"/>
    </xf>
    <xf numFmtId="0" fontId="26" fillId="2" borderId="0" xfId="0" applyFont="1" applyFill="1" applyBorder="1" applyAlignment="1" applyProtection="1">
      <alignment horizontal="center" wrapText="1"/>
    </xf>
    <xf numFmtId="0" fontId="47" fillId="0" borderId="11" xfId="0" applyNumberFormat="1" applyFont="1" applyBorder="1" applyAlignment="1" applyProtection="1">
      <alignment horizontal="center" vertical="center" wrapText="1"/>
      <protection hidden="1"/>
    </xf>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locked="0" hidden="1"/>
    </xf>
    <xf numFmtId="0" fontId="32" fillId="0" borderId="22" xfId="0" applyFont="1" applyBorder="1" applyAlignment="1" applyProtection="1">
      <alignment horizontal="left" wrapText="1"/>
    </xf>
    <xf numFmtId="0" fontId="32" fillId="0" borderId="0" xfId="0" applyFont="1" applyBorder="1" applyAlignment="1" applyProtection="1">
      <alignment horizontal="left" wrapText="1"/>
    </xf>
    <xf numFmtId="0" fontId="32" fillId="0" borderId="23" xfId="0" applyFont="1" applyBorder="1" applyAlignment="1" applyProtection="1">
      <alignment horizontal="left" wrapText="1"/>
    </xf>
    <xf numFmtId="0" fontId="0" fillId="0" borderId="22" xfId="0" applyBorder="1" applyAlignment="1" applyProtection="1">
      <alignment horizontal="left"/>
    </xf>
    <xf numFmtId="0" fontId="0" fillId="0" borderId="0" xfId="0" applyBorder="1" applyAlignment="1" applyProtection="1">
      <alignment horizontal="left"/>
    </xf>
    <xf numFmtId="0" fontId="0" fillId="0" borderId="23" xfId="0" applyBorder="1" applyAlignment="1" applyProtection="1">
      <alignment horizontal="left"/>
    </xf>
    <xf numFmtId="0" fontId="32" fillId="0" borderId="22" xfId="0" applyFont="1" applyBorder="1" applyAlignment="1" applyProtection="1">
      <alignment horizontal="center" wrapText="1"/>
    </xf>
    <xf numFmtId="0" fontId="32" fillId="0" borderId="0" xfId="0" applyFont="1" applyBorder="1" applyAlignment="1" applyProtection="1">
      <alignment horizontal="center" wrapText="1"/>
    </xf>
    <xf numFmtId="0" fontId="32" fillId="0" borderId="23" xfId="0" applyFont="1" applyBorder="1" applyAlignment="1" applyProtection="1">
      <alignment horizontal="center" wrapText="1"/>
    </xf>
    <xf numFmtId="0" fontId="60" fillId="15" borderId="54" xfId="0" applyFont="1" applyFill="1" applyBorder="1" applyAlignment="1" applyProtection="1">
      <alignment horizontal="center"/>
    </xf>
    <xf numFmtId="0" fontId="60" fillId="15" borderId="55" xfId="0" applyFont="1" applyFill="1" applyBorder="1" applyAlignment="1" applyProtection="1">
      <alignment horizontal="center"/>
    </xf>
    <xf numFmtId="0" fontId="60" fillId="15" borderId="56" xfId="0" applyFont="1" applyFill="1" applyBorder="1" applyAlignment="1" applyProtection="1">
      <alignment horizontal="center"/>
    </xf>
    <xf numFmtId="0" fontId="38" fillId="31" borderId="60" xfId="0" applyFont="1" applyFill="1" applyBorder="1" applyAlignment="1" applyProtection="1">
      <alignment horizontal="center" vertical="center"/>
    </xf>
    <xf numFmtId="0" fontId="38" fillId="31" borderId="58" xfId="0" applyFont="1" applyFill="1" applyBorder="1" applyAlignment="1" applyProtection="1">
      <alignment horizontal="center" vertical="center"/>
    </xf>
    <xf numFmtId="0" fontId="42" fillId="35" borderId="65" xfId="0" applyFont="1" applyFill="1" applyBorder="1" applyAlignment="1" applyProtection="1">
      <alignment horizontal="center"/>
      <protection hidden="1"/>
    </xf>
    <xf numFmtId="0" fontId="42" fillId="35" borderId="38" xfId="0" applyFont="1" applyFill="1" applyBorder="1" applyAlignment="1" applyProtection="1">
      <alignment horizontal="center"/>
      <protection hidden="1"/>
    </xf>
    <xf numFmtId="0" fontId="42" fillId="35" borderId="66" xfId="0" applyFont="1" applyFill="1" applyBorder="1" applyAlignment="1" applyProtection="1">
      <alignment horizontal="center"/>
      <protection hidden="1"/>
    </xf>
    <xf numFmtId="0" fontId="0" fillId="0" borderId="22" xfId="0" applyBorder="1" applyAlignment="1" applyProtection="1">
      <alignment horizontal="left" wrapText="1"/>
    </xf>
    <xf numFmtId="0" fontId="0" fillId="0" borderId="0" xfId="0" applyBorder="1" applyAlignment="1" applyProtection="1">
      <alignment horizontal="left" wrapText="1"/>
    </xf>
    <xf numFmtId="0" fontId="0" fillId="0" borderId="23" xfId="0" applyBorder="1" applyAlignment="1" applyProtection="1">
      <alignment horizontal="left" wrapText="1"/>
    </xf>
    <xf numFmtId="0" fontId="0" fillId="0" borderId="57" xfId="0" applyBorder="1" applyAlignment="1" applyProtection="1">
      <alignment horizontal="left" wrapText="1"/>
    </xf>
    <xf numFmtId="0" fontId="0" fillId="0" borderId="58" xfId="0" applyBorder="1" applyAlignment="1" applyProtection="1">
      <alignment horizontal="left" wrapText="1"/>
    </xf>
    <xf numFmtId="0" fontId="0" fillId="0" borderId="59" xfId="0" applyBorder="1" applyAlignment="1" applyProtection="1">
      <alignment horizontal="left" wrapText="1"/>
    </xf>
    <xf numFmtId="0" fontId="0" fillId="0" borderId="22" xfId="0" applyBorder="1" applyAlignment="1" applyProtection="1">
      <alignment horizontal="center" wrapText="1"/>
    </xf>
    <xf numFmtId="0" fontId="0" fillId="0" borderId="0" xfId="0" applyBorder="1" applyAlignment="1" applyProtection="1">
      <alignment horizontal="center" wrapText="1"/>
    </xf>
    <xf numFmtId="0" fontId="0" fillId="0" borderId="23" xfId="0" applyBorder="1" applyAlignment="1" applyProtection="1">
      <alignment horizontal="center" wrapText="1"/>
    </xf>
    <xf numFmtId="0" fontId="32" fillId="0" borderId="22"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23" xfId="0" applyFont="1" applyBorder="1" applyAlignment="1" applyProtection="1">
      <alignment horizontal="left" vertical="top" wrapText="1"/>
    </xf>
    <xf numFmtId="0" fontId="62" fillId="11" borderId="0" xfId="0" applyFont="1" applyFill="1" applyAlignment="1" applyProtection="1">
      <alignment horizontal="center" vertical="center"/>
      <protection locked="0"/>
    </xf>
    <xf numFmtId="0" fontId="59" fillId="15" borderId="54" xfId="0" applyFont="1" applyFill="1" applyBorder="1" applyAlignment="1" applyProtection="1">
      <alignment horizontal="center"/>
    </xf>
    <xf numFmtId="0" fontId="59" fillId="15" borderId="55" xfId="0" applyFont="1" applyFill="1" applyBorder="1" applyAlignment="1" applyProtection="1">
      <alignment horizontal="center"/>
    </xf>
    <xf numFmtId="0" fontId="59" fillId="15" borderId="56" xfId="0" applyFont="1" applyFill="1" applyBorder="1" applyAlignment="1" applyProtection="1">
      <alignment horizontal="center"/>
    </xf>
    <xf numFmtId="0" fontId="0" fillId="0" borderId="57" xfId="0" applyBorder="1" applyAlignment="1" applyProtection="1">
      <alignment horizontal="center" wrapText="1"/>
    </xf>
    <xf numFmtId="0" fontId="0" fillId="0" borderId="58" xfId="0" applyBorder="1" applyAlignment="1" applyProtection="1">
      <alignment horizontal="center" wrapText="1"/>
    </xf>
    <xf numFmtId="0" fontId="0" fillId="0" borderId="59" xfId="0" applyBorder="1" applyAlignment="1" applyProtection="1">
      <alignment horizontal="center" wrapText="1"/>
    </xf>
    <xf numFmtId="0" fontId="77" fillId="17" borderId="22" xfId="0" applyFont="1" applyFill="1" applyBorder="1" applyAlignment="1" applyProtection="1">
      <alignment horizontal="center" vertical="center" wrapText="1"/>
    </xf>
    <xf numFmtId="0" fontId="77" fillId="17" borderId="0" xfId="0" applyFont="1" applyFill="1" applyBorder="1" applyAlignment="1" applyProtection="1">
      <alignment horizontal="center" vertical="center" wrapText="1"/>
    </xf>
    <xf numFmtId="0" fontId="76" fillId="0" borderId="30" xfId="0" applyFont="1" applyBorder="1" applyAlignment="1" applyProtection="1">
      <alignment horizontal="center" wrapText="1"/>
      <protection hidden="1"/>
    </xf>
    <xf numFmtId="0" fontId="29" fillId="2" borderId="1" xfId="0" applyFont="1" applyFill="1" applyBorder="1" applyAlignment="1">
      <alignment horizontal="center" vertical="center"/>
    </xf>
    <xf numFmtId="0" fontId="29" fillId="2" borderId="26" xfId="0" applyFont="1" applyFill="1" applyBorder="1" applyAlignment="1">
      <alignment horizontal="center" vertical="center"/>
    </xf>
    <xf numFmtId="0" fontId="73" fillId="2" borderId="21" xfId="0" applyFont="1" applyFill="1" applyBorder="1" applyAlignment="1" applyProtection="1">
      <alignment horizontal="center" vertical="center"/>
      <protection hidden="1"/>
    </xf>
    <xf numFmtId="0" fontId="73" fillId="2" borderId="14" xfId="0" applyFont="1" applyFill="1" applyBorder="1" applyAlignment="1" applyProtection="1">
      <alignment horizontal="center" vertical="center"/>
      <protection hidden="1"/>
    </xf>
    <xf numFmtId="0" fontId="75" fillId="2" borderId="20" xfId="0" applyFont="1" applyFill="1" applyBorder="1" applyAlignment="1" applyProtection="1">
      <alignment horizontal="center" vertical="center"/>
      <protection hidden="1"/>
    </xf>
    <xf numFmtId="0" fontId="33" fillId="2" borderId="21" xfId="0" applyFont="1" applyFill="1" applyBorder="1" applyAlignment="1" applyProtection="1">
      <alignment horizontal="center" vertical="center"/>
      <protection hidden="1"/>
    </xf>
    <xf numFmtId="0" fontId="33" fillId="2" borderId="25" xfId="0" applyFont="1" applyFill="1" applyBorder="1" applyAlignment="1" applyProtection="1">
      <alignment horizontal="center" vertical="center"/>
      <protection hidden="1"/>
    </xf>
    <xf numFmtId="0" fontId="71" fillId="0" borderId="51" xfId="0" applyFont="1" applyBorder="1" applyAlignment="1" applyProtection="1">
      <alignment horizontal="center" vertical="center"/>
      <protection hidden="1"/>
    </xf>
    <xf numFmtId="0" fontId="71" fillId="0" borderId="64" xfId="0" applyFont="1" applyBorder="1" applyAlignment="1" applyProtection="1">
      <alignment horizontal="center" vertical="center"/>
      <protection hidden="1"/>
    </xf>
    <xf numFmtId="0" fontId="71" fillId="0" borderId="52" xfId="0" applyFont="1" applyBorder="1" applyAlignment="1" applyProtection="1">
      <alignment horizontal="center" vertical="center"/>
      <protection hidden="1"/>
    </xf>
    <xf numFmtId="0" fontId="72" fillId="0" borderId="51" xfId="0" applyFont="1" applyBorder="1" applyAlignment="1" applyProtection="1">
      <alignment horizontal="center" vertical="center" wrapText="1"/>
      <protection locked="0"/>
    </xf>
    <xf numFmtId="0" fontId="72" fillId="0" borderId="52" xfId="0" applyFont="1" applyBorder="1" applyAlignment="1" applyProtection="1">
      <alignment horizontal="center" vertical="center" wrapText="1"/>
      <protection locked="0"/>
    </xf>
    <xf numFmtId="0" fontId="50" fillId="31" borderId="61" xfId="0" applyFont="1" applyFill="1" applyBorder="1" applyAlignment="1" applyProtection="1">
      <alignment horizontal="center" vertical="center"/>
      <protection hidden="1"/>
    </xf>
    <xf numFmtId="0" fontId="50" fillId="31" borderId="62" xfId="0" applyFont="1" applyFill="1" applyBorder="1" applyAlignment="1" applyProtection="1">
      <alignment horizontal="center" vertical="center"/>
      <protection hidden="1"/>
    </xf>
    <xf numFmtId="0" fontId="50" fillId="31" borderId="63" xfId="0" applyFont="1" applyFill="1" applyBorder="1" applyAlignment="1" applyProtection="1">
      <alignment horizontal="center" vertical="center"/>
      <protection hidden="1"/>
    </xf>
    <xf numFmtId="0" fontId="49" fillId="0" borderId="0" xfId="0" applyFont="1" applyBorder="1" applyAlignment="1" applyProtection="1">
      <alignment horizontal="center" vertical="center"/>
    </xf>
    <xf numFmtId="0" fontId="49" fillId="0" borderId="23" xfId="0" applyFont="1" applyBorder="1" applyAlignment="1" applyProtection="1">
      <alignment horizontal="center" vertical="center"/>
    </xf>
    <xf numFmtId="0" fontId="84" fillId="0" borderId="67" xfId="0" applyFont="1" applyBorder="1" applyAlignment="1" applyProtection="1">
      <alignment horizontal="center"/>
    </xf>
    <xf numFmtId="0" fontId="0" fillId="0" borderId="0" xfId="0" applyAlignment="1" applyProtection="1">
      <alignment horizontal="center"/>
      <protection hidden="1"/>
    </xf>
    <xf numFmtId="0" fontId="35" fillId="7" borderId="1" xfId="0" applyFont="1" applyFill="1" applyBorder="1" applyAlignment="1" applyProtection="1">
      <alignment horizontal="center" vertical="center"/>
      <protection hidden="1"/>
    </xf>
    <xf numFmtId="0" fontId="35" fillId="7" borderId="26" xfId="0" applyFont="1" applyFill="1" applyBorder="1" applyAlignment="1" applyProtection="1">
      <alignment horizontal="center" vertical="center"/>
      <protection hidden="1"/>
    </xf>
    <xf numFmtId="0" fontId="37" fillId="0" borderId="34" xfId="0" applyFont="1" applyBorder="1" applyAlignment="1" applyProtection="1">
      <alignment horizontal="center"/>
      <protection locked="0"/>
    </xf>
    <xf numFmtId="0" fontId="37" fillId="0" borderId="35" xfId="0" applyFont="1" applyBorder="1" applyAlignment="1" applyProtection="1">
      <alignment horizontal="center"/>
      <protection locked="0"/>
    </xf>
    <xf numFmtId="0" fontId="35" fillId="7" borderId="20" xfId="0" applyFont="1" applyFill="1" applyBorder="1" applyAlignment="1" applyProtection="1">
      <alignment horizontal="center" vertical="center"/>
      <protection hidden="1"/>
    </xf>
    <xf numFmtId="0" fontId="35" fillId="7" borderId="21" xfId="0" applyFont="1" applyFill="1" applyBorder="1" applyAlignment="1" applyProtection="1">
      <alignment horizontal="center" vertical="center"/>
      <protection hidden="1"/>
    </xf>
    <xf numFmtId="0" fontId="35" fillId="7" borderId="14" xfId="0" applyFont="1" applyFill="1" applyBorder="1" applyAlignment="1" applyProtection="1">
      <alignment horizontal="center" vertical="center"/>
      <protection hidden="1"/>
    </xf>
    <xf numFmtId="0" fontId="35" fillId="7" borderId="26" xfId="0" applyFont="1" applyFill="1" applyBorder="1" applyAlignment="1" applyProtection="1">
      <alignment horizontal="center" vertical="center" wrapText="1"/>
      <protection hidden="1"/>
    </xf>
    <xf numFmtId="0" fontId="35" fillId="7" borderId="31" xfId="0" applyFont="1" applyFill="1" applyBorder="1" applyAlignment="1" applyProtection="1">
      <alignment horizontal="center" vertical="center" wrapText="1"/>
      <protection hidden="1"/>
    </xf>
    <xf numFmtId="0" fontId="35" fillId="7" borderId="1"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protection hidden="1"/>
    </xf>
    <xf numFmtId="0" fontId="45" fillId="0" borderId="0" xfId="0" applyFont="1" applyAlignment="1" applyProtection="1">
      <alignment horizontal="center"/>
      <protection hidden="1"/>
    </xf>
    <xf numFmtId="14" fontId="66" fillId="0" borderId="0" xfId="0" applyNumberFormat="1" applyFont="1" applyAlignment="1" applyProtection="1">
      <alignment horizontal="center" vertical="center"/>
      <protection hidden="1"/>
    </xf>
    <xf numFmtId="0" fontId="38" fillId="0" borderId="1" xfId="0" applyFont="1" applyBorder="1" applyAlignment="1" applyProtection="1">
      <alignment horizontal="center"/>
    </xf>
    <xf numFmtId="0" fontId="38" fillId="0" borderId="1" xfId="0" applyFont="1" applyBorder="1" applyAlignment="1" applyProtection="1">
      <alignment horizontal="center"/>
      <protection hidden="1"/>
    </xf>
    <xf numFmtId="0" fontId="46" fillId="0" borderId="1" xfId="0" applyFont="1" applyBorder="1" applyAlignment="1" applyProtection="1">
      <alignment horizontal="center"/>
      <protection hidden="1"/>
    </xf>
    <xf numFmtId="0" fontId="0" fillId="23" borderId="43" xfId="0" applyNumberFormat="1" applyFill="1" applyBorder="1" applyAlignment="1">
      <alignment horizontal="center"/>
    </xf>
    <xf numFmtId="0" fontId="0" fillId="23" borderId="44" xfId="0" applyNumberFormat="1" applyFill="1" applyBorder="1" applyAlignment="1">
      <alignment horizontal="center"/>
    </xf>
    <xf numFmtId="0" fontId="45" fillId="0" borderId="0" xfId="0" applyFont="1" applyAlignment="1">
      <alignment horizontal="center" vertical="center" textRotation="90"/>
    </xf>
    <xf numFmtId="0" fontId="0" fillId="0" borderId="0" xfId="0" applyAlignment="1">
      <alignment horizontal="center" wrapText="1"/>
    </xf>
    <xf numFmtId="0" fontId="0" fillId="23" borderId="41" xfId="0" applyFill="1" applyBorder="1" applyAlignment="1">
      <alignment horizontal="center"/>
    </xf>
    <xf numFmtId="0" fontId="0" fillId="0" borderId="0" xfId="0" applyAlignment="1">
      <alignment horizontal="center" textRotation="90" wrapText="1"/>
    </xf>
    <xf numFmtId="0" fontId="0" fillId="2" borderId="1" xfId="0" applyFill="1" applyBorder="1" applyAlignment="1" applyProtection="1">
      <alignment horizontal="center" vertical="top" wrapText="1"/>
      <protection hidden="1"/>
    </xf>
    <xf numFmtId="0" fontId="0" fillId="0" borderId="32" xfId="0" applyBorder="1" applyProtection="1">
      <protection locked="0" hidden="1"/>
    </xf>
  </cellXfs>
  <cellStyles count="1">
    <cellStyle name="Normal" xfId="0" builtinId="0"/>
  </cellStyles>
  <dxfs count="2">
    <dxf>
      <fill>
        <patternFill>
          <bgColor theme="1"/>
        </patternFill>
      </fill>
    </dxf>
    <dxf>
      <fill>
        <patternFill>
          <bgColor theme="1" tint="4.9989318521683403E-2"/>
        </patternFill>
      </fill>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eb.whatsapp.com/" TargetMode="External"/><Relationship Id="rId1" Type="http://schemas.openxmlformats.org/officeDocument/2006/relationships/image" Target="../media/image1.jpeg"/><Relationship Id="rId5" Type="http://schemas.openxmlformats.org/officeDocument/2006/relationships/image" Target="../media/image3.jpeg"/><Relationship Id="rId4" Type="http://schemas.openxmlformats.org/officeDocument/2006/relationships/hyperlink" Target="mailto:JOSHIHANSRAJ72@GMAIL.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mailto:JOSHIHANSRAJ72@GMAIL.COM" TargetMode="External"/><Relationship Id="rId1" Type="http://schemas.openxmlformats.org/officeDocument/2006/relationships/image" Target="../media/image1.jpeg"/><Relationship Id="rId4" Type="http://schemas.openxmlformats.org/officeDocument/2006/relationships/hyperlink" Target="#MASTER!A1"/></Relationships>
</file>

<file path=xl/drawings/_rels/drawing3.xml.rels><?xml version="1.0" encoding="UTF-8" standalone="yes"?>
<Relationships xmlns="http://schemas.openxmlformats.org/package/2006/relationships"><Relationship Id="rId2" Type="http://schemas.openxmlformats.org/officeDocument/2006/relationships/hyperlink" Target="#ORDER!A1"/><Relationship Id="rId1" Type="http://schemas.openxmlformats.org/officeDocument/2006/relationships/hyperlink" Target="#INTRO!A1"/></Relationships>
</file>

<file path=xl/drawings/_rels/drawing4.xml.rels><?xml version="1.0" encoding="UTF-8" standalone="yes"?>
<Relationships xmlns="http://schemas.openxmlformats.org/package/2006/relationships"><Relationship Id="rId2" Type="http://schemas.openxmlformats.org/officeDocument/2006/relationships/hyperlink" Target="#'DATA ENTRY'!A1"/><Relationship Id="rId1" Type="http://schemas.openxmlformats.org/officeDocument/2006/relationships/hyperlink" Target="#MASTER!A1"/></Relationships>
</file>

<file path=xl/drawings/_rels/drawing5.xml.rels><?xml version="1.0" encoding="UTF-8" standalone="yes"?>
<Relationships xmlns="http://schemas.openxmlformats.org/package/2006/relationships"><Relationship Id="rId2" Type="http://schemas.openxmlformats.org/officeDocument/2006/relationships/hyperlink" Target="#ARREAR!A1"/><Relationship Id="rId1" Type="http://schemas.openxmlformats.org/officeDocument/2006/relationships/hyperlink" Target="#ORDER!A1"/></Relationships>
</file>

<file path=xl/drawings/_rels/drawing6.xml.rels><?xml version="1.0" encoding="UTF-8" standalone="yes"?>
<Relationships xmlns="http://schemas.openxmlformats.org/package/2006/relationships"><Relationship Id="rId2" Type="http://schemas.openxmlformats.org/officeDocument/2006/relationships/hyperlink" Target="#ORDER!A1"/><Relationship Id="rId1" Type="http://schemas.openxmlformats.org/officeDocument/2006/relationships/hyperlink" Target="#'7th pay chart'!A1"/></Relationships>
</file>

<file path=xl/drawings/_rels/drawing7.xml.rels><?xml version="1.0" encoding="UTF-8" standalone="yes"?>
<Relationships xmlns="http://schemas.openxmlformats.org/package/2006/relationships"><Relationship Id="rId1" Type="http://schemas.openxmlformats.org/officeDocument/2006/relationships/hyperlink" Target="#ARREAR!A1"/></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14.emf"/><Relationship Id="rId7" Type="http://schemas.openxmlformats.org/officeDocument/2006/relationships/image" Target="../media/image10.emf"/><Relationship Id="rId12" Type="http://schemas.openxmlformats.org/officeDocument/2006/relationships/image" Target="../media/image5.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1.emf"/><Relationship Id="rId11" Type="http://schemas.openxmlformats.org/officeDocument/2006/relationships/image" Target="../media/image6.emf"/><Relationship Id="rId5" Type="http://schemas.openxmlformats.org/officeDocument/2006/relationships/image" Target="../media/image12.emf"/><Relationship Id="rId10" Type="http://schemas.openxmlformats.org/officeDocument/2006/relationships/image" Target="../media/image7.emf"/><Relationship Id="rId4" Type="http://schemas.openxmlformats.org/officeDocument/2006/relationships/image" Target="../media/image13.emf"/><Relationship Id="rId9"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12</xdr:col>
      <xdr:colOff>143564</xdr:colOff>
      <xdr:row>0</xdr:row>
      <xdr:rowOff>16566</xdr:rowOff>
    </xdr:from>
    <xdr:to>
      <xdr:col>14</xdr:col>
      <xdr:colOff>33129</xdr:colOff>
      <xdr:row>3</xdr:row>
      <xdr:rowOff>1</xdr:rowOff>
    </xdr:to>
    <xdr:sp macro="" textlink="">
      <xdr:nvSpPr>
        <xdr:cNvPr id="2" name="Oval Callout 1">
          <a:extLst>
            <a:ext uri="{FF2B5EF4-FFF2-40B4-BE49-F238E27FC236}">
              <a16:creationId xmlns="" xmlns:a16="http://schemas.microsoft.com/office/drawing/2014/main" id="{00000000-0008-0000-0000-000002000000}"/>
            </a:ext>
          </a:extLst>
        </xdr:cNvPr>
        <xdr:cNvSpPr/>
      </xdr:nvSpPr>
      <xdr:spPr>
        <a:xfrm>
          <a:off x="9431129" y="16566"/>
          <a:ext cx="2269435" cy="734392"/>
        </a:xfrm>
        <a:prstGeom prst="wedgeEllipseCallout">
          <a:avLst>
            <a:gd name="adj1" fmla="val -75825"/>
            <a:gd name="adj2" fmla="val 6889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latin typeface="DevLys 010" pitchFamily="2" charset="0"/>
            </a:rPr>
            <a:t>dk;kZy;</a:t>
          </a:r>
          <a:r>
            <a:rPr lang="en-US" sz="1100" baseline="0">
              <a:latin typeface="DevLys 010" pitchFamily="2" charset="0"/>
            </a:rPr>
            <a:t> vkns'k dh Hkk"kk dks viuh vko';drkuqlkj ifjorZu dj ldrs gSAfjDr LFkku ij mi;qDr vkns'k dzekad fy[ksA</a:t>
          </a:r>
          <a:endParaRPr lang="en-US" sz="1100">
            <a:latin typeface="DevLys 010" pitchFamily="2" charset="0"/>
          </a:endParaRPr>
        </a:p>
      </xdr:txBody>
    </xdr:sp>
    <xdr:clientData/>
  </xdr:twoCellAnchor>
  <xdr:twoCellAnchor editAs="oneCell">
    <xdr:from>
      <xdr:col>9</xdr:col>
      <xdr:colOff>397565</xdr:colOff>
      <xdr:row>28</xdr:row>
      <xdr:rowOff>66260</xdr:rowOff>
    </xdr:from>
    <xdr:to>
      <xdr:col>10</xdr:col>
      <xdr:colOff>712855</xdr:colOff>
      <xdr:row>35</xdr:row>
      <xdr:rowOff>5520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5348" y="6438347"/>
          <a:ext cx="960782" cy="1286565"/>
        </a:xfrm>
        <a:prstGeom prst="rect">
          <a:avLst/>
        </a:prstGeom>
      </xdr:spPr>
    </xdr:pic>
    <xdr:clientData/>
  </xdr:twoCellAnchor>
  <xdr:twoCellAnchor>
    <xdr:from>
      <xdr:col>6</xdr:col>
      <xdr:colOff>265045</xdr:colOff>
      <xdr:row>29</xdr:row>
      <xdr:rowOff>60739</xdr:rowOff>
    </xdr:from>
    <xdr:to>
      <xdr:col>9</xdr:col>
      <xdr:colOff>248203</xdr:colOff>
      <xdr:row>30</xdr:row>
      <xdr:rowOff>149363</xdr:rowOff>
    </xdr:to>
    <xdr:sp macro="" textlink="">
      <xdr:nvSpPr>
        <xdr:cNvPr id="4" name="Rectangle 3">
          <a:extLst>
            <a:ext uri="{FF2B5EF4-FFF2-40B4-BE49-F238E27FC236}">
              <a16:creationId xmlns="" xmlns:a16="http://schemas.microsoft.com/office/drawing/2014/main" id="{00000000-0008-0000-0000-000004000000}"/>
            </a:ext>
          </a:extLst>
        </xdr:cNvPr>
        <xdr:cNvSpPr/>
      </xdr:nvSpPr>
      <xdr:spPr>
        <a:xfrm>
          <a:off x="5737088" y="6615043"/>
          <a:ext cx="1948898" cy="270842"/>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800" b="0" i="0" u="none" strike="noStrike" kern="0" cap="none" spc="0" normalizeH="0" baseline="0" noProof="0">
              <a:ln>
                <a:noFill/>
              </a:ln>
              <a:solidFill>
                <a:srgbClr val="FFFFFF"/>
              </a:solidFill>
              <a:effectLst/>
              <a:uLnTx/>
              <a:uFillTx/>
              <a:latin typeface="Calibri"/>
              <a:cs typeface="Calibri"/>
            </a:rPr>
            <a:t>HANS RAJ JOSHI</a:t>
          </a:r>
        </a:p>
      </xdr:txBody>
    </xdr:sp>
    <xdr:clientData/>
  </xdr:twoCellAnchor>
  <xdr:twoCellAnchor>
    <xdr:from>
      <xdr:col>6</xdr:col>
      <xdr:colOff>6627</xdr:colOff>
      <xdr:row>30</xdr:row>
      <xdr:rowOff>160406</xdr:rowOff>
    </xdr:from>
    <xdr:to>
      <xdr:col>9</xdr:col>
      <xdr:colOff>403087</xdr:colOff>
      <xdr:row>34</xdr:row>
      <xdr:rowOff>171173</xdr:rowOff>
    </xdr:to>
    <xdr:sp macro="" textlink="">
      <xdr:nvSpPr>
        <xdr:cNvPr id="5" name="Rectangle 4">
          <a:extLst>
            <a:ext uri="{FF2B5EF4-FFF2-40B4-BE49-F238E27FC236}">
              <a16:creationId xmlns="" xmlns:a16="http://schemas.microsoft.com/office/drawing/2014/main" id="{00000000-0008-0000-0000-000005000000}"/>
            </a:ext>
          </a:extLst>
        </xdr:cNvPr>
        <xdr:cNvSpPr/>
      </xdr:nvSpPr>
      <xdr:spPr>
        <a:xfrm>
          <a:off x="5478670" y="6758884"/>
          <a:ext cx="2362200" cy="739637"/>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0" u="none" strike="noStrike" kern="0" cap="none" spc="0" normalizeH="0" baseline="0" noProof="0">
              <a:ln>
                <a:noFill/>
              </a:ln>
              <a:solidFill>
                <a:srgbClr val="FFFFFF"/>
              </a:solidFill>
              <a:effectLst/>
              <a:uLnTx/>
              <a:uFillTx/>
              <a:latin typeface="Calibri"/>
              <a:cs typeface="Calibri"/>
            </a:rPr>
            <a:t>PRINCIPAL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0" u="none" strike="noStrike" kern="0" cap="none" spc="0" normalizeH="0" baseline="0" noProof="0">
              <a:ln>
                <a:noFill/>
              </a:ln>
              <a:solidFill>
                <a:srgbClr val="FFFFFF"/>
              </a:solidFill>
              <a:effectLst/>
              <a:uLnTx/>
              <a:uFillTx/>
              <a:latin typeface="Calibri"/>
              <a:cs typeface="Calibri"/>
            </a:rPr>
            <a:t>GOVT. </a:t>
          </a:r>
          <a:r>
            <a:rPr kumimoji="0" lang="en-IN" sz="900" b="0" i="0" u="none" strike="noStrike" kern="0" cap="none" spc="0" normalizeH="0" baseline="0" noProof="0">
              <a:ln>
                <a:noFill/>
              </a:ln>
              <a:solidFill>
                <a:srgbClr val="FFFFFF"/>
              </a:solidFill>
              <a:effectLst/>
              <a:uLnTx/>
              <a:uFillTx/>
              <a:latin typeface="Calibri"/>
              <a:cs typeface="Calibri"/>
            </a:rPr>
            <a:t>SEN.SEC.SCHOOL</a:t>
          </a:r>
          <a:r>
            <a:rPr kumimoji="0" lang="en-IN" sz="1000" b="0" i="0" u="none" strike="noStrike" kern="0" cap="none" spc="0" normalizeH="0" baseline="0" noProof="0">
              <a:ln>
                <a:noFill/>
              </a:ln>
              <a:solidFill>
                <a:srgbClr val="FFFFFF"/>
              </a:solidFill>
              <a:effectLst/>
              <a:uLnTx/>
              <a:uFillTx/>
              <a:latin typeface="Calibri"/>
              <a:cs typeface="Calibri"/>
            </a:rPr>
            <a:t> 13DOL(GHARSANA)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0" u="none" strike="noStrike" kern="0" cap="none" spc="0" normalizeH="0" baseline="0" noProof="0">
              <a:ln>
                <a:noFill/>
              </a:ln>
              <a:solidFill>
                <a:srgbClr val="FFFFFF"/>
              </a:solidFill>
              <a:effectLst/>
              <a:uLnTx/>
              <a:uFillTx/>
              <a:latin typeface="Calibri"/>
              <a:cs typeface="Calibri"/>
            </a:rPr>
            <a:t>DISTRICT SRI GANGANAGAR</a:t>
          </a:r>
        </a:p>
      </xdr:txBody>
    </xdr:sp>
    <xdr:clientData/>
  </xdr:twoCellAnchor>
  <xdr:twoCellAnchor editAs="oneCell">
    <xdr:from>
      <xdr:col>2</xdr:col>
      <xdr:colOff>63500</xdr:colOff>
      <xdr:row>31</xdr:row>
      <xdr:rowOff>127000</xdr:rowOff>
    </xdr:from>
    <xdr:to>
      <xdr:col>2</xdr:col>
      <xdr:colOff>368300</xdr:colOff>
      <xdr:row>33</xdr:row>
      <xdr:rowOff>76199</xdr:rowOff>
    </xdr:to>
    <xdr:sp macro="" textlink="">
      <xdr:nvSpPr>
        <xdr:cNvPr id="6" name="AutoShape 4" descr="Image result for whatsapp logo image">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282700" y="20066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596901</xdr:colOff>
      <xdr:row>30</xdr:row>
      <xdr:rowOff>114300</xdr:rowOff>
    </xdr:from>
    <xdr:to>
      <xdr:col>1</xdr:col>
      <xdr:colOff>1438689</xdr:colOff>
      <xdr:row>34</xdr:row>
      <xdr:rowOff>111863</xdr:rowOff>
    </xdr:to>
    <xdr:pic>
      <xdr:nvPicPr>
        <xdr:cNvPr id="7" name="Picture 6">
          <a:hlinkClick xmlns:r="http://schemas.openxmlformats.org/officeDocument/2006/relationships" r:id="rId2"/>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6858" y="6712778"/>
          <a:ext cx="860838" cy="726432"/>
        </a:xfrm>
        <a:prstGeom prst="rect">
          <a:avLst/>
        </a:prstGeom>
        <a:solidFill>
          <a:srgbClr val="C0504D">
            <a:lumMod val="40000"/>
            <a:lumOff val="60000"/>
          </a:srgbClr>
        </a:solidFill>
      </xdr:spPr>
    </xdr:pic>
    <xdr:clientData/>
  </xdr:twoCellAnchor>
  <xdr:twoCellAnchor editAs="oneCell">
    <xdr:from>
      <xdr:col>4</xdr:col>
      <xdr:colOff>157922</xdr:colOff>
      <xdr:row>30</xdr:row>
      <xdr:rowOff>276</xdr:rowOff>
    </xdr:from>
    <xdr:to>
      <xdr:col>5</xdr:col>
      <xdr:colOff>61292</xdr:colOff>
      <xdr:row>34</xdr:row>
      <xdr:rowOff>12977</xdr:rowOff>
    </xdr:to>
    <xdr:pic>
      <xdr:nvPicPr>
        <xdr:cNvPr id="8" name="Picture 7">
          <a:hlinkClick xmlns:r="http://schemas.openxmlformats.org/officeDocument/2006/relationships" r:id="rId4"/>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9313" y="6598754"/>
          <a:ext cx="670892" cy="741570"/>
        </a:xfrm>
        <a:prstGeom prst="rect">
          <a:avLst/>
        </a:prstGeom>
      </xdr:spPr>
    </xdr:pic>
    <xdr:clientData/>
  </xdr:twoCellAnchor>
  <xdr:twoCellAnchor>
    <xdr:from>
      <xdr:col>11</xdr:col>
      <xdr:colOff>171174</xdr:colOff>
      <xdr:row>11</xdr:row>
      <xdr:rowOff>104913</xdr:rowOff>
    </xdr:from>
    <xdr:to>
      <xdr:col>12</xdr:col>
      <xdr:colOff>469347</xdr:colOff>
      <xdr:row>12</xdr:row>
      <xdr:rowOff>104913</xdr:rowOff>
    </xdr:to>
    <xdr:sp macro="" textlink="">
      <xdr:nvSpPr>
        <xdr:cNvPr id="12" name="Left Arrow 11">
          <a:extLst>
            <a:ext uri="{FF2B5EF4-FFF2-40B4-BE49-F238E27FC236}">
              <a16:creationId xmlns="" xmlns:a16="http://schemas.microsoft.com/office/drawing/2014/main" id="{00000000-0008-0000-0000-00000C000000}"/>
            </a:ext>
          </a:extLst>
        </xdr:cNvPr>
        <xdr:cNvSpPr/>
      </xdr:nvSpPr>
      <xdr:spPr>
        <a:xfrm>
          <a:off x="8895522" y="3257826"/>
          <a:ext cx="789608" cy="1822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7854950</xdr:colOff>
      <xdr:row>12</xdr:row>
      <xdr:rowOff>12700</xdr:rowOff>
    </xdr:from>
    <xdr:to>
      <xdr:col>2</xdr:col>
      <xdr:colOff>9029700</xdr:colOff>
      <xdr:row>18</xdr:row>
      <xdr:rowOff>94314</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0" y="4521200"/>
          <a:ext cx="1174750" cy="1186514"/>
        </a:xfrm>
        <a:prstGeom prst="rect">
          <a:avLst/>
        </a:prstGeom>
      </xdr:spPr>
    </xdr:pic>
    <xdr:clientData/>
  </xdr:twoCellAnchor>
  <xdr:twoCellAnchor editAs="oneCell">
    <xdr:from>
      <xdr:col>2</xdr:col>
      <xdr:colOff>1790700</xdr:colOff>
      <xdr:row>13</xdr:row>
      <xdr:rowOff>63500</xdr:rowOff>
    </xdr:from>
    <xdr:to>
      <xdr:col>2</xdr:col>
      <xdr:colOff>2514600</xdr:colOff>
      <xdr:row>17</xdr:row>
      <xdr:rowOff>76200</xdr:rowOff>
    </xdr:to>
    <xdr:pic>
      <xdr:nvPicPr>
        <xdr:cNvPr id="5" name="Picture 4">
          <a:hlinkClick xmlns:r="http://schemas.openxmlformats.org/officeDocument/2006/relationships" r:id="rId2"/>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1250" y="5143500"/>
          <a:ext cx="723900" cy="749300"/>
        </a:xfrm>
        <a:prstGeom prst="rect">
          <a:avLst/>
        </a:prstGeom>
      </xdr:spPr>
    </xdr:pic>
    <xdr:clientData/>
  </xdr:twoCellAnchor>
  <xdr:twoCellAnchor>
    <xdr:from>
      <xdr:col>2</xdr:col>
      <xdr:colOff>5693410</xdr:colOff>
      <xdr:row>11</xdr:row>
      <xdr:rowOff>143510</xdr:rowOff>
    </xdr:from>
    <xdr:to>
      <xdr:col>2</xdr:col>
      <xdr:colOff>7325360</xdr:colOff>
      <xdr:row>13</xdr:row>
      <xdr:rowOff>30480</xdr:rowOff>
    </xdr:to>
    <xdr:sp macro="" textlink="">
      <xdr:nvSpPr>
        <xdr:cNvPr id="6" name="Rounded Rectangle 5">
          <a:extLst>
            <a:ext uri="{FF2B5EF4-FFF2-40B4-BE49-F238E27FC236}">
              <a16:creationId xmlns="" xmlns:a16="http://schemas.microsoft.com/office/drawing/2014/main" id="{00000000-0008-0000-0100-000006000000}"/>
            </a:ext>
          </a:extLst>
        </xdr:cNvPr>
        <xdr:cNvSpPr/>
      </xdr:nvSpPr>
      <xdr:spPr>
        <a:xfrm>
          <a:off x="7522210" y="4456430"/>
          <a:ext cx="1631950" cy="25273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n-lt"/>
              <a:ea typeface="+mn-ea"/>
              <a:cs typeface="+mn-cs"/>
            </a:rPr>
            <a:t>HANS</a:t>
          </a:r>
          <a:r>
            <a:rPr lang="en-GB" sz="1100"/>
            <a:t> RAJ JOSHI</a:t>
          </a:r>
        </a:p>
      </xdr:txBody>
    </xdr:sp>
    <xdr:clientData/>
  </xdr:twoCellAnchor>
  <xdr:twoCellAnchor>
    <xdr:from>
      <xdr:col>2</xdr:col>
      <xdr:colOff>5410200</xdr:colOff>
      <xdr:row>13</xdr:row>
      <xdr:rowOff>38100</xdr:rowOff>
    </xdr:from>
    <xdr:to>
      <xdr:col>2</xdr:col>
      <xdr:colOff>7696200</xdr:colOff>
      <xdr:row>18</xdr:row>
      <xdr:rowOff>133350</xdr:rowOff>
    </xdr:to>
    <xdr:sp macro="" textlink="">
      <xdr:nvSpPr>
        <xdr:cNvPr id="7" name="Rounded Rectangle 6">
          <a:extLst>
            <a:ext uri="{FF2B5EF4-FFF2-40B4-BE49-F238E27FC236}">
              <a16:creationId xmlns="" xmlns:a16="http://schemas.microsoft.com/office/drawing/2014/main" id="{00000000-0008-0000-0100-000007000000}"/>
            </a:ext>
          </a:extLst>
        </xdr:cNvPr>
        <xdr:cNvSpPr/>
      </xdr:nvSpPr>
      <xdr:spPr>
        <a:xfrm>
          <a:off x="7239000" y="4716780"/>
          <a:ext cx="2286000" cy="10096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t>PRINCIPAL </a:t>
          </a:r>
        </a:p>
        <a:p>
          <a:pPr algn="ctr"/>
          <a:r>
            <a:rPr lang="en-GB" sz="1100"/>
            <a:t>GOVT.SR.SECONDARY</a:t>
          </a:r>
          <a:r>
            <a:rPr lang="en-GB" sz="1100" baseline="0"/>
            <a:t> SCHOOL RAJPURA PIPERAN (SURATGARH), SRIGANGANAGAR</a:t>
          </a:r>
          <a:endParaRPr lang="en-GB" sz="1100"/>
        </a:p>
      </xdr:txBody>
    </xdr:sp>
    <xdr:clientData/>
  </xdr:twoCellAnchor>
  <xdr:twoCellAnchor>
    <xdr:from>
      <xdr:col>2</xdr:col>
      <xdr:colOff>7785100</xdr:colOff>
      <xdr:row>11</xdr:row>
      <xdr:rowOff>31750</xdr:rowOff>
    </xdr:from>
    <xdr:to>
      <xdr:col>2</xdr:col>
      <xdr:colOff>9131300</xdr:colOff>
      <xdr:row>18</xdr:row>
      <xdr:rowOff>158750</xdr:rowOff>
    </xdr:to>
    <xdr:sp macro="" textlink="">
      <xdr:nvSpPr>
        <xdr:cNvPr id="8" name="Frame 7">
          <a:extLst>
            <a:ext uri="{FF2B5EF4-FFF2-40B4-BE49-F238E27FC236}">
              <a16:creationId xmlns="" xmlns:a16="http://schemas.microsoft.com/office/drawing/2014/main" id="{00000000-0008-0000-0100-000008000000}"/>
            </a:ext>
          </a:extLst>
        </xdr:cNvPr>
        <xdr:cNvSpPr/>
      </xdr:nvSpPr>
      <xdr:spPr>
        <a:xfrm>
          <a:off x="9645650" y="4356100"/>
          <a:ext cx="1346200" cy="141605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xdr:col>
      <xdr:colOff>368300</xdr:colOff>
      <xdr:row>3</xdr:row>
      <xdr:rowOff>120650</xdr:rowOff>
    </xdr:from>
    <xdr:to>
      <xdr:col>1</xdr:col>
      <xdr:colOff>1028700</xdr:colOff>
      <xdr:row>3</xdr:row>
      <xdr:rowOff>552450</xdr:rowOff>
    </xdr:to>
    <xdr:sp macro="" textlink="">
      <xdr:nvSpPr>
        <xdr:cNvPr id="3" name="Right Arrow 2">
          <a:hlinkClick xmlns:r="http://schemas.openxmlformats.org/officeDocument/2006/relationships" r:id="rId4"/>
          <a:extLst>
            <a:ext uri="{FF2B5EF4-FFF2-40B4-BE49-F238E27FC236}">
              <a16:creationId xmlns="" xmlns:a16="http://schemas.microsoft.com/office/drawing/2014/main" id="{00000000-0008-0000-0100-000003000000}"/>
            </a:ext>
          </a:extLst>
        </xdr:cNvPr>
        <xdr:cNvSpPr/>
      </xdr:nvSpPr>
      <xdr:spPr>
        <a:xfrm>
          <a:off x="590550" y="889000"/>
          <a:ext cx="660400" cy="431800"/>
        </a:xfrm>
        <a:prstGeom prst="rightArrow">
          <a:avLst/>
        </a:prstGeom>
        <a:effectLst>
          <a:glow>
            <a:schemeClr val="accent2">
              <a:satMod val="175000"/>
              <a:alpha val="68000"/>
            </a:schemeClr>
          </a:glow>
          <a:outerShdw blurRad="57150" dist="19050" dir="5400000" algn="ctr" rotWithShape="0">
            <a:srgbClr val="000000">
              <a:alpha val="63000"/>
            </a:srgbClr>
          </a:outerShdw>
          <a:reflection endPos="0" dir="5400000" sy="-100000" algn="bl" rotWithShape="0"/>
          <a:softEdge rad="0"/>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b="1" i="1">
              <a:solidFill>
                <a:sysClr val="windowText" lastClr="000000"/>
              </a:solidFill>
            </a:rPr>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1314450</xdr:colOff>
      <xdr:row>2</xdr:row>
      <xdr:rowOff>82550</xdr:rowOff>
    </xdr:from>
    <xdr:to>
      <xdr:col>7</xdr:col>
      <xdr:colOff>241300</xdr:colOff>
      <xdr:row>4</xdr:row>
      <xdr:rowOff>76200</xdr:rowOff>
    </xdr:to>
    <xdr:sp macro="" textlink="">
      <xdr:nvSpPr>
        <xdr:cNvPr id="7" name="Curved Down Ribbon 6">
          <a:extLst>
            <a:ext uri="{FF2B5EF4-FFF2-40B4-BE49-F238E27FC236}">
              <a16:creationId xmlns="" xmlns:a16="http://schemas.microsoft.com/office/drawing/2014/main" id="{00000000-0008-0000-0200-000007000000}"/>
            </a:ext>
          </a:extLst>
        </xdr:cNvPr>
        <xdr:cNvSpPr/>
      </xdr:nvSpPr>
      <xdr:spPr>
        <a:xfrm>
          <a:off x="2222500" y="584200"/>
          <a:ext cx="3752850" cy="368300"/>
        </a:xfrm>
        <a:prstGeom prst="ellipseRibbon">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i-IN" sz="1100">
              <a:solidFill>
                <a:schemeClr val="bg1"/>
              </a:solidFill>
              <a:latin typeface="Cambria" panose="02040503050406030204" pitchFamily="18" charset="0"/>
              <a:ea typeface="Cambria" panose="02040503050406030204" pitchFamily="18" charset="0"/>
            </a:rPr>
            <a:t>MASTER DATA</a:t>
          </a:r>
          <a:endParaRPr lang="en-GB" sz="1100">
            <a:solidFill>
              <a:schemeClr val="bg1"/>
            </a:solidFill>
            <a:latin typeface="Cambria" panose="02040503050406030204" pitchFamily="18" charset="0"/>
            <a:ea typeface="Cambria" panose="02040503050406030204" pitchFamily="18" charset="0"/>
          </a:endParaRPr>
        </a:p>
      </xdr:txBody>
    </xdr:sp>
    <xdr:clientData/>
  </xdr:twoCellAnchor>
  <xdr:twoCellAnchor>
    <xdr:from>
      <xdr:col>16</xdr:col>
      <xdr:colOff>44450</xdr:colOff>
      <xdr:row>1</xdr:row>
      <xdr:rowOff>120650</xdr:rowOff>
    </xdr:from>
    <xdr:to>
      <xdr:col>18</xdr:col>
      <xdr:colOff>387350</xdr:colOff>
      <xdr:row>7</xdr:row>
      <xdr:rowOff>139700</xdr:rowOff>
    </xdr:to>
    <xdr:sp macro="" textlink="">
      <xdr:nvSpPr>
        <xdr:cNvPr id="2" name="Oval Callout 1">
          <a:extLst>
            <a:ext uri="{FF2B5EF4-FFF2-40B4-BE49-F238E27FC236}">
              <a16:creationId xmlns="" xmlns:a16="http://schemas.microsoft.com/office/drawing/2014/main" id="{00000000-0008-0000-0200-000002000000}"/>
            </a:ext>
          </a:extLst>
        </xdr:cNvPr>
        <xdr:cNvSpPr/>
      </xdr:nvSpPr>
      <xdr:spPr>
        <a:xfrm>
          <a:off x="12668250" y="311150"/>
          <a:ext cx="1562100" cy="1282700"/>
        </a:xfrm>
        <a:prstGeom prst="wedgeEllipseCallout">
          <a:avLst>
            <a:gd name="adj1" fmla="val -76605"/>
            <a:gd name="adj2" fmla="val 37231"/>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hi-IN" sz="1100"/>
            <a:t>ड्रॉपडाउन में आपका  पदनाम नही है तो यहाँ पर भरे</a:t>
          </a:r>
          <a:endParaRPr lang="en-GB" sz="1100"/>
        </a:p>
      </xdr:txBody>
    </xdr:sp>
    <xdr:clientData/>
  </xdr:twoCellAnchor>
  <xdr:twoCellAnchor>
    <xdr:from>
      <xdr:col>12</xdr:col>
      <xdr:colOff>260350</xdr:colOff>
      <xdr:row>1</xdr:row>
      <xdr:rowOff>19050</xdr:rowOff>
    </xdr:from>
    <xdr:to>
      <xdr:col>15</xdr:col>
      <xdr:colOff>304800</xdr:colOff>
      <xdr:row>21</xdr:row>
      <xdr:rowOff>57150</xdr:rowOff>
    </xdr:to>
    <xdr:sp macro="" textlink="">
      <xdr:nvSpPr>
        <xdr:cNvPr id="3" name="Frame 2">
          <a:extLst>
            <a:ext uri="{FF2B5EF4-FFF2-40B4-BE49-F238E27FC236}">
              <a16:creationId xmlns="" xmlns:a16="http://schemas.microsoft.com/office/drawing/2014/main" id="{00000000-0008-0000-0200-000003000000}"/>
            </a:ext>
          </a:extLst>
        </xdr:cNvPr>
        <xdr:cNvSpPr/>
      </xdr:nvSpPr>
      <xdr:spPr>
        <a:xfrm>
          <a:off x="10026650" y="209550"/>
          <a:ext cx="2235200" cy="4114800"/>
        </a:xfrm>
        <a:prstGeom prst="frame">
          <a:avLst/>
        </a:prstGeom>
        <a:gradFill>
          <a:gsLst>
            <a:gs pos="0">
              <a:schemeClr val="accent2">
                <a:lumMod val="60000"/>
                <a:lumOff val="4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xdr:col>
      <xdr:colOff>63500</xdr:colOff>
      <xdr:row>2</xdr:row>
      <xdr:rowOff>31750</xdr:rowOff>
    </xdr:from>
    <xdr:to>
      <xdr:col>2</xdr:col>
      <xdr:colOff>31750</xdr:colOff>
      <xdr:row>4</xdr:row>
      <xdr:rowOff>82550</xdr:rowOff>
    </xdr:to>
    <xdr:sp macro="" textlink="">
      <xdr:nvSpPr>
        <xdr:cNvPr id="9" name="Left Arrow 8">
          <a:hlinkClick xmlns:r="http://schemas.openxmlformats.org/officeDocument/2006/relationships" r:id="rId1"/>
          <a:extLst>
            <a:ext uri="{FF2B5EF4-FFF2-40B4-BE49-F238E27FC236}">
              <a16:creationId xmlns="" xmlns:a16="http://schemas.microsoft.com/office/drawing/2014/main" id="{00000000-0008-0000-0200-000009000000}"/>
            </a:ext>
          </a:extLst>
        </xdr:cNvPr>
        <xdr:cNvSpPr/>
      </xdr:nvSpPr>
      <xdr:spPr>
        <a:xfrm>
          <a:off x="298450" y="533400"/>
          <a:ext cx="641350" cy="425450"/>
        </a:xfrm>
        <a:prstGeom prst="lef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GB" sz="1100" b="1"/>
            <a:t>BACK</a:t>
          </a:r>
        </a:p>
      </xdr:txBody>
    </xdr:sp>
    <xdr:clientData/>
  </xdr:twoCellAnchor>
  <xdr:twoCellAnchor>
    <xdr:from>
      <xdr:col>9</xdr:col>
      <xdr:colOff>0</xdr:colOff>
      <xdr:row>2</xdr:row>
      <xdr:rowOff>0</xdr:rowOff>
    </xdr:from>
    <xdr:to>
      <xdr:col>10</xdr:col>
      <xdr:colOff>50800</xdr:colOff>
      <xdr:row>4</xdr:row>
      <xdr:rowOff>57150</xdr:rowOff>
    </xdr:to>
    <xdr:sp macro="" textlink="">
      <xdr:nvSpPr>
        <xdr:cNvPr id="11" name="Right Arrow 10">
          <a:hlinkClick xmlns:r="http://schemas.openxmlformats.org/officeDocument/2006/relationships" r:id="rId2"/>
          <a:extLst>
            <a:ext uri="{FF2B5EF4-FFF2-40B4-BE49-F238E27FC236}">
              <a16:creationId xmlns="" xmlns:a16="http://schemas.microsoft.com/office/drawing/2014/main" id="{00000000-0008-0000-0200-00000B000000}"/>
            </a:ext>
          </a:extLst>
        </xdr:cNvPr>
        <xdr:cNvSpPr/>
      </xdr:nvSpPr>
      <xdr:spPr>
        <a:xfrm>
          <a:off x="8312150" y="501650"/>
          <a:ext cx="660400" cy="431800"/>
        </a:xfrm>
        <a:prstGeom prst="rightArrow">
          <a:avLst/>
        </a:prstGeom>
        <a:effectLst>
          <a:glow>
            <a:schemeClr val="accent2">
              <a:satMod val="175000"/>
              <a:alpha val="68000"/>
            </a:schemeClr>
          </a:glow>
          <a:outerShdw blurRad="57150" dist="19050" dir="5400000" algn="ctr" rotWithShape="0">
            <a:srgbClr val="000000">
              <a:alpha val="63000"/>
            </a:srgbClr>
          </a:outerShdw>
          <a:reflection endPos="0" dir="5400000" sy="-100000" algn="bl" rotWithShape="0"/>
          <a:softEdge rad="0"/>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b="1" i="1">
              <a:solidFill>
                <a:sysClr val="windowText" lastClr="000000"/>
              </a:solidFill>
            </a:rPr>
            <a:t>NEXT</a:t>
          </a:r>
        </a:p>
      </xdr:txBody>
    </xdr:sp>
    <xdr:clientData/>
  </xdr:twoCellAnchor>
  <xdr:twoCellAnchor>
    <xdr:from>
      <xdr:col>4</xdr:col>
      <xdr:colOff>25400</xdr:colOff>
      <xdr:row>10</xdr:row>
      <xdr:rowOff>63500</xdr:rowOff>
    </xdr:from>
    <xdr:to>
      <xdr:col>4</xdr:col>
      <xdr:colOff>495300</xdr:colOff>
      <xdr:row>11</xdr:row>
      <xdr:rowOff>120650</xdr:rowOff>
    </xdr:to>
    <xdr:sp macro="" textlink="">
      <xdr:nvSpPr>
        <xdr:cNvPr id="5" name="Curved Left Arrow 4">
          <a:extLst>
            <a:ext uri="{FF2B5EF4-FFF2-40B4-BE49-F238E27FC236}">
              <a16:creationId xmlns="" xmlns:a16="http://schemas.microsoft.com/office/drawing/2014/main" id="{00000000-0008-0000-0200-000005000000}"/>
            </a:ext>
          </a:extLst>
        </xdr:cNvPr>
        <xdr:cNvSpPr/>
      </xdr:nvSpPr>
      <xdr:spPr>
        <a:xfrm>
          <a:off x="4965700" y="2133600"/>
          <a:ext cx="469900" cy="247650"/>
        </a:xfrm>
        <a:prstGeom prst="curvedLeftArrow">
          <a:avLst>
            <a:gd name="adj1" fmla="val 19849"/>
            <a:gd name="adj2" fmla="val 50000"/>
            <a:gd name="adj3" fmla="val 2500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11</xdr:col>
      <xdr:colOff>311150</xdr:colOff>
      <xdr:row>31</xdr:row>
      <xdr:rowOff>38100</xdr:rowOff>
    </xdr:from>
    <xdr:to>
      <xdr:col>16</xdr:col>
      <xdr:colOff>69850</xdr:colOff>
      <xdr:row>39</xdr:row>
      <xdr:rowOff>50800</xdr:rowOff>
    </xdr:to>
    <xdr:sp macro="" textlink="">
      <xdr:nvSpPr>
        <xdr:cNvPr id="4" name="Oval Callout 3">
          <a:extLst>
            <a:ext uri="{FF2B5EF4-FFF2-40B4-BE49-F238E27FC236}">
              <a16:creationId xmlns="" xmlns:a16="http://schemas.microsoft.com/office/drawing/2014/main" id="{00000000-0008-0000-0200-000004000000}"/>
            </a:ext>
          </a:extLst>
        </xdr:cNvPr>
        <xdr:cNvSpPr/>
      </xdr:nvSpPr>
      <xdr:spPr>
        <a:xfrm>
          <a:off x="10966450" y="6216650"/>
          <a:ext cx="3168650" cy="1682750"/>
        </a:xfrm>
        <a:prstGeom prst="wedgeEllipseCallout">
          <a:avLst>
            <a:gd name="adj1" fmla="val -86156"/>
            <a:gd name="adj2" fmla="val -33073"/>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hi-IN" sz="1100"/>
            <a:t>नोशनल फ़िक्सेशन मे यद्यपि ORDER SHEET मे वास्तविक लाभ देय तिथि को पे लेवल व वेतन ऑटोमैटिक आयेगा परंतु किसी कारणवश आप</a:t>
          </a:r>
          <a:r>
            <a:rPr lang="hi-IN" sz="1100" baseline="0"/>
            <a:t> EDIT करना चाहते है तो यहाँ से कर सकते है।</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156264</xdr:colOff>
      <xdr:row>0</xdr:row>
      <xdr:rowOff>0</xdr:rowOff>
    </xdr:from>
    <xdr:to>
      <xdr:col>19</xdr:col>
      <xdr:colOff>101599</xdr:colOff>
      <xdr:row>4</xdr:row>
      <xdr:rowOff>19049</xdr:rowOff>
    </xdr:to>
    <xdr:sp macro="" textlink="">
      <xdr:nvSpPr>
        <xdr:cNvPr id="2" name="Oval Callout 1">
          <a:extLst>
            <a:ext uri="{FF2B5EF4-FFF2-40B4-BE49-F238E27FC236}">
              <a16:creationId xmlns="" xmlns:a16="http://schemas.microsoft.com/office/drawing/2014/main" id="{00000000-0008-0000-0300-000002000000}"/>
            </a:ext>
          </a:extLst>
        </xdr:cNvPr>
        <xdr:cNvSpPr/>
      </xdr:nvSpPr>
      <xdr:spPr>
        <a:xfrm>
          <a:off x="11046514" y="0"/>
          <a:ext cx="2821885" cy="1015999"/>
        </a:xfrm>
        <a:prstGeom prst="wedgeEllipseCallout">
          <a:avLst>
            <a:gd name="adj1" fmla="val -59173"/>
            <a:gd name="adj2" fmla="val 6335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hi-IN" sz="1050">
              <a:latin typeface="DevLys 010" pitchFamily="2" charset="0"/>
            </a:rPr>
            <a:t>कार्यालय आदेश की भाषा अपनी आवश्यकता अनुसार बदल सकते है । पुनः ऑटोमैटिक आदेश </a:t>
          </a:r>
          <a:r>
            <a:rPr lang="hi-IN" sz="1050">
              <a:latin typeface="+mn-lt"/>
            </a:rPr>
            <a:t>जारी</a:t>
          </a:r>
          <a:r>
            <a:rPr lang="hi-IN" sz="1050">
              <a:latin typeface="DevLys 010" pitchFamily="2" charset="0"/>
            </a:rPr>
            <a:t> करने के लिए</a:t>
          </a:r>
          <a:r>
            <a:rPr lang="hi-IN" sz="1050">
              <a:latin typeface="Cambria" panose="02040503050406030204" pitchFamily="18" charset="0"/>
              <a:ea typeface="Cambria" panose="02040503050406030204" pitchFamily="18" charset="0"/>
            </a:rPr>
            <a:t> Refresh Order </a:t>
          </a:r>
          <a:r>
            <a:rPr lang="hi-IN" sz="1050">
              <a:latin typeface="DevLys 010" pitchFamily="2" charset="0"/>
            </a:rPr>
            <a:t> बटन पर क्लिक करे</a:t>
          </a:r>
          <a:endParaRPr lang="en-US" sz="1050">
            <a:latin typeface="DevLys 010" pitchFamily="2" charset="0"/>
          </a:endParaRPr>
        </a:p>
      </xdr:txBody>
    </xdr:sp>
    <xdr:clientData/>
  </xdr:twoCellAnchor>
  <xdr:twoCellAnchor editAs="oneCell">
    <xdr:from>
      <xdr:col>3</xdr:col>
      <xdr:colOff>63500</xdr:colOff>
      <xdr:row>33</xdr:row>
      <xdr:rowOff>127000</xdr:rowOff>
    </xdr:from>
    <xdr:to>
      <xdr:col>3</xdr:col>
      <xdr:colOff>368300</xdr:colOff>
      <xdr:row>35</xdr:row>
      <xdr:rowOff>76200</xdr:rowOff>
    </xdr:to>
    <xdr:sp macro="" textlink="">
      <xdr:nvSpPr>
        <xdr:cNvPr id="6" name="AutoShape 4" descr="Image result for whatsapp logo image">
          <a:extLst>
            <a:ext uri="{FF2B5EF4-FFF2-40B4-BE49-F238E27FC236}">
              <a16:creationId xmlns="" xmlns:a16="http://schemas.microsoft.com/office/drawing/2014/main" id="{00000000-0008-0000-0300-000006000000}"/>
            </a:ext>
          </a:extLst>
        </xdr:cNvPr>
        <xdr:cNvSpPr>
          <a:spLocks noChangeAspect="1" noChangeArrowheads="1"/>
        </xdr:cNvSpPr>
      </xdr:nvSpPr>
      <xdr:spPr bwMode="auto">
        <a:xfrm>
          <a:off x="1943100" y="7239000"/>
          <a:ext cx="304800" cy="3174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9388</xdr:colOff>
      <xdr:row>11</xdr:row>
      <xdr:rowOff>29265</xdr:rowOff>
    </xdr:from>
    <xdr:to>
      <xdr:col>16</xdr:col>
      <xdr:colOff>211483</xdr:colOff>
      <xdr:row>14</xdr:row>
      <xdr:rowOff>128656</xdr:rowOff>
    </xdr:to>
    <xdr:sp macro="" textlink="">
      <xdr:nvSpPr>
        <xdr:cNvPr id="10" name="Right Brace 9">
          <a:extLst>
            <a:ext uri="{FF2B5EF4-FFF2-40B4-BE49-F238E27FC236}">
              <a16:creationId xmlns="" xmlns:a16="http://schemas.microsoft.com/office/drawing/2014/main" id="{00000000-0008-0000-0300-00000A000000}"/>
            </a:ext>
          </a:extLst>
        </xdr:cNvPr>
        <xdr:cNvSpPr/>
      </xdr:nvSpPr>
      <xdr:spPr>
        <a:xfrm>
          <a:off x="10709138" y="3337615"/>
          <a:ext cx="430695" cy="651841"/>
        </a:xfrm>
        <a:prstGeom prst="rightBrace">
          <a:avLst>
            <a:gd name="adj1" fmla="val 8333"/>
            <a:gd name="adj2" fmla="val 51852"/>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16</xdr:col>
      <xdr:colOff>139700</xdr:colOff>
      <xdr:row>5</xdr:row>
      <xdr:rowOff>31750</xdr:rowOff>
    </xdr:from>
    <xdr:to>
      <xdr:col>17</xdr:col>
      <xdr:colOff>514350</xdr:colOff>
      <xdr:row>5</xdr:row>
      <xdr:rowOff>527050</xdr:rowOff>
    </xdr:to>
    <xdr:sp macro="[0]!order_refresh" textlink="">
      <xdr:nvSpPr>
        <xdr:cNvPr id="9" name="Rounded Rectangle 8">
          <a:extLst>
            <a:ext uri="{FF2B5EF4-FFF2-40B4-BE49-F238E27FC236}">
              <a16:creationId xmlns="" xmlns:a16="http://schemas.microsoft.com/office/drawing/2014/main" id="{00000000-0008-0000-0300-000009000000}"/>
            </a:ext>
          </a:extLst>
        </xdr:cNvPr>
        <xdr:cNvSpPr/>
      </xdr:nvSpPr>
      <xdr:spPr>
        <a:xfrm>
          <a:off x="11029950" y="1238250"/>
          <a:ext cx="863600" cy="4953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latin typeface="Cambria" panose="02040503050406030204" pitchFamily="18" charset="0"/>
              <a:ea typeface="Cambria" panose="02040503050406030204" pitchFamily="18" charset="0"/>
            </a:rPr>
            <a:t>Refresh</a:t>
          </a:r>
          <a:r>
            <a:rPr lang="en-GB" sz="1100" baseline="0">
              <a:latin typeface="Cambria" panose="02040503050406030204" pitchFamily="18" charset="0"/>
              <a:ea typeface="Cambria" panose="02040503050406030204" pitchFamily="18" charset="0"/>
            </a:rPr>
            <a:t> Order</a:t>
          </a:r>
          <a:endParaRPr lang="en-GB" sz="1100">
            <a:latin typeface="Cambria" panose="02040503050406030204" pitchFamily="18" charset="0"/>
            <a:ea typeface="Cambria" panose="02040503050406030204" pitchFamily="18" charset="0"/>
          </a:endParaRPr>
        </a:p>
      </xdr:txBody>
    </xdr:sp>
    <xdr:clientData/>
  </xdr:twoCellAnchor>
  <xdr:twoCellAnchor>
    <xdr:from>
      <xdr:col>18</xdr:col>
      <xdr:colOff>260350</xdr:colOff>
      <xdr:row>5</xdr:row>
      <xdr:rowOff>177800</xdr:rowOff>
    </xdr:from>
    <xdr:to>
      <xdr:col>18</xdr:col>
      <xdr:colOff>901700</xdr:colOff>
      <xdr:row>6</xdr:row>
      <xdr:rowOff>0</xdr:rowOff>
    </xdr:to>
    <xdr:sp macro="" textlink="">
      <xdr:nvSpPr>
        <xdr:cNvPr id="12" name="Left Arrow 11">
          <a:hlinkClick xmlns:r="http://schemas.openxmlformats.org/officeDocument/2006/relationships" r:id="rId1"/>
          <a:extLst>
            <a:ext uri="{FF2B5EF4-FFF2-40B4-BE49-F238E27FC236}">
              <a16:creationId xmlns="" xmlns:a16="http://schemas.microsoft.com/office/drawing/2014/main" id="{00000000-0008-0000-0300-00000C000000}"/>
            </a:ext>
          </a:extLst>
        </xdr:cNvPr>
        <xdr:cNvSpPr/>
      </xdr:nvSpPr>
      <xdr:spPr>
        <a:xfrm>
          <a:off x="12287250" y="1384300"/>
          <a:ext cx="641350" cy="425450"/>
        </a:xfrm>
        <a:prstGeom prst="lef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GB" sz="1100" b="1"/>
            <a:t>BACK</a:t>
          </a:r>
        </a:p>
      </xdr:txBody>
    </xdr:sp>
    <xdr:clientData/>
  </xdr:twoCellAnchor>
  <xdr:twoCellAnchor>
    <xdr:from>
      <xdr:col>19</xdr:col>
      <xdr:colOff>146050</xdr:colOff>
      <xdr:row>5</xdr:row>
      <xdr:rowOff>95250</xdr:rowOff>
    </xdr:from>
    <xdr:to>
      <xdr:col>20</xdr:col>
      <xdr:colOff>196850</xdr:colOff>
      <xdr:row>5</xdr:row>
      <xdr:rowOff>527050</xdr:rowOff>
    </xdr:to>
    <xdr:sp macro="" textlink="">
      <xdr:nvSpPr>
        <xdr:cNvPr id="14" name="Right Arrow 13">
          <a:hlinkClick xmlns:r="http://schemas.openxmlformats.org/officeDocument/2006/relationships" r:id="rId2"/>
          <a:extLst>
            <a:ext uri="{FF2B5EF4-FFF2-40B4-BE49-F238E27FC236}">
              <a16:creationId xmlns="" xmlns:a16="http://schemas.microsoft.com/office/drawing/2014/main" id="{00000000-0008-0000-0300-00000E000000}"/>
            </a:ext>
          </a:extLst>
        </xdr:cNvPr>
        <xdr:cNvSpPr/>
      </xdr:nvSpPr>
      <xdr:spPr>
        <a:xfrm>
          <a:off x="13950950" y="1301750"/>
          <a:ext cx="660400" cy="431800"/>
        </a:xfrm>
        <a:prstGeom prst="rightArrow">
          <a:avLst/>
        </a:prstGeom>
        <a:effectLst>
          <a:glow>
            <a:schemeClr val="accent2">
              <a:satMod val="175000"/>
              <a:alpha val="68000"/>
            </a:schemeClr>
          </a:glow>
          <a:outerShdw blurRad="57150" dist="19050" dir="5400000" algn="ctr" rotWithShape="0">
            <a:srgbClr val="000000">
              <a:alpha val="63000"/>
            </a:srgbClr>
          </a:outerShdw>
          <a:reflection endPos="0" dir="5400000" sy="-100000" algn="bl" rotWithShape="0"/>
          <a:softEdge rad="0"/>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b="1" i="1">
              <a:solidFill>
                <a:sysClr val="windowText" lastClr="000000"/>
              </a:solidFill>
            </a:rPr>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177800</xdr:colOff>
      <xdr:row>2</xdr:row>
      <xdr:rowOff>203200</xdr:rowOff>
    </xdr:from>
    <xdr:to>
      <xdr:col>14</xdr:col>
      <xdr:colOff>552450</xdr:colOff>
      <xdr:row>4</xdr:row>
      <xdr:rowOff>114300</xdr:rowOff>
    </xdr:to>
    <xdr:sp macro="" textlink="">
      <xdr:nvSpPr>
        <xdr:cNvPr id="5" name="Left Arrow 4">
          <a:hlinkClick xmlns:r="http://schemas.openxmlformats.org/officeDocument/2006/relationships" r:id="rId1"/>
          <a:extLst>
            <a:ext uri="{FF2B5EF4-FFF2-40B4-BE49-F238E27FC236}">
              <a16:creationId xmlns="" xmlns:a16="http://schemas.microsoft.com/office/drawing/2014/main" id="{00000000-0008-0000-0400-000005000000}"/>
            </a:ext>
          </a:extLst>
        </xdr:cNvPr>
        <xdr:cNvSpPr/>
      </xdr:nvSpPr>
      <xdr:spPr>
        <a:xfrm>
          <a:off x="9969500" y="666750"/>
          <a:ext cx="641350" cy="425450"/>
        </a:xfrm>
        <a:prstGeom prst="lef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GB" sz="1100" b="1"/>
            <a:t>BACK</a:t>
          </a:r>
        </a:p>
      </xdr:txBody>
    </xdr:sp>
    <xdr:clientData/>
  </xdr:twoCellAnchor>
  <xdr:twoCellAnchor>
    <xdr:from>
      <xdr:col>14</xdr:col>
      <xdr:colOff>539750</xdr:colOff>
      <xdr:row>5</xdr:row>
      <xdr:rowOff>76200</xdr:rowOff>
    </xdr:from>
    <xdr:to>
      <xdr:col>16</xdr:col>
      <xdr:colOff>76200</xdr:colOff>
      <xdr:row>8</xdr:row>
      <xdr:rowOff>177800</xdr:rowOff>
    </xdr:to>
    <xdr:sp macro="" textlink="">
      <xdr:nvSpPr>
        <xdr:cNvPr id="7" name="Rounded Rectangle 6">
          <a:extLst>
            <a:ext uri="{FF2B5EF4-FFF2-40B4-BE49-F238E27FC236}">
              <a16:creationId xmlns="" xmlns:a16="http://schemas.microsoft.com/office/drawing/2014/main" id="{00000000-0008-0000-0400-000007000000}"/>
            </a:ext>
          </a:extLst>
        </xdr:cNvPr>
        <xdr:cNvSpPr/>
      </xdr:nvSpPr>
      <xdr:spPr>
        <a:xfrm>
          <a:off x="10598150" y="1244600"/>
          <a:ext cx="1092200" cy="730250"/>
        </a:xfrm>
        <a:prstGeom prst="roundRect">
          <a:avLst/>
        </a:prstGeom>
        <a:gradFill>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scene3d>
          <a:camera prst="orthographicFront"/>
          <a:lightRig rig="sunse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Cambria" panose="02040503050406030204" pitchFamily="18" charset="0"/>
              <a:ea typeface="Cambria" panose="02040503050406030204" pitchFamily="18" charset="0"/>
            </a:rPr>
            <a:t>DA RATE </a:t>
          </a:r>
          <a:r>
            <a:rPr lang="hi-IN" sz="1100">
              <a:latin typeface="Cambria" panose="02040503050406030204" pitchFamily="18" charset="0"/>
              <a:ea typeface="Cambria" panose="02040503050406030204" pitchFamily="18" charset="0"/>
            </a:rPr>
            <a:t>देखने के लिए कर्सर यहाँ लाए</a:t>
          </a:r>
          <a:endParaRPr lang="en-GB" sz="1100">
            <a:latin typeface="Cambria" panose="02040503050406030204" pitchFamily="18" charset="0"/>
            <a:ea typeface="Cambria" panose="02040503050406030204" pitchFamily="18" charset="0"/>
          </a:endParaRPr>
        </a:p>
      </xdr:txBody>
    </xdr:sp>
    <xdr:clientData/>
  </xdr:twoCellAnchor>
  <xdr:twoCellAnchor>
    <xdr:from>
      <xdr:col>14</xdr:col>
      <xdr:colOff>546100</xdr:colOff>
      <xdr:row>11</xdr:row>
      <xdr:rowOff>0</xdr:rowOff>
    </xdr:from>
    <xdr:to>
      <xdr:col>16</xdr:col>
      <xdr:colOff>546100</xdr:colOff>
      <xdr:row>23</xdr:row>
      <xdr:rowOff>50800</xdr:rowOff>
    </xdr:to>
    <xdr:sp macro="" textlink="">
      <xdr:nvSpPr>
        <xdr:cNvPr id="8" name="Vertical Scroll 7">
          <a:extLst>
            <a:ext uri="{FF2B5EF4-FFF2-40B4-BE49-F238E27FC236}">
              <a16:creationId xmlns="" xmlns:a16="http://schemas.microsoft.com/office/drawing/2014/main" id="{00000000-0008-0000-0400-000008000000}"/>
            </a:ext>
          </a:extLst>
        </xdr:cNvPr>
        <xdr:cNvSpPr/>
      </xdr:nvSpPr>
      <xdr:spPr>
        <a:xfrm>
          <a:off x="10604500" y="2425700"/>
          <a:ext cx="1555750" cy="2260600"/>
        </a:xfrm>
        <a:prstGeom prst="verticalScrol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hi-IN" sz="1100">
              <a:latin typeface="Cambria" panose="02040503050406030204" pitchFamily="18" charset="0"/>
              <a:ea typeface="Cambria" panose="02040503050406030204" pitchFamily="18" charset="0"/>
            </a:rPr>
            <a:t>DA और HRA RATE  संबन्धित माह के सामने MANUALLY भरे। यदि BASIC PAY मे बदलाव आवश्यक है EDIT BASIC PAY कॉलम मे भरे</a:t>
          </a:r>
          <a:endParaRPr lang="en-GB" sz="1100">
            <a:latin typeface="Cambria" panose="02040503050406030204" pitchFamily="18" charset="0"/>
            <a:ea typeface="Cambria" panose="02040503050406030204" pitchFamily="18" charset="0"/>
          </a:endParaRPr>
        </a:p>
      </xdr:txBody>
    </xdr:sp>
    <xdr:clientData/>
  </xdr:twoCellAnchor>
  <xdr:twoCellAnchor>
    <xdr:from>
      <xdr:col>14</xdr:col>
      <xdr:colOff>0</xdr:colOff>
      <xdr:row>0</xdr:row>
      <xdr:rowOff>12700</xdr:rowOff>
    </xdr:from>
    <xdr:to>
      <xdr:col>15</xdr:col>
      <xdr:colOff>50800</xdr:colOff>
      <xdr:row>1</xdr:row>
      <xdr:rowOff>171450</xdr:rowOff>
    </xdr:to>
    <xdr:sp macro="" textlink="">
      <xdr:nvSpPr>
        <xdr:cNvPr id="10" name="Right Arrow 9">
          <a:hlinkClick xmlns:r="http://schemas.openxmlformats.org/officeDocument/2006/relationships" r:id="rId2"/>
          <a:extLst>
            <a:ext uri="{FF2B5EF4-FFF2-40B4-BE49-F238E27FC236}">
              <a16:creationId xmlns="" xmlns:a16="http://schemas.microsoft.com/office/drawing/2014/main" id="{00000000-0008-0000-0400-00000A000000}"/>
            </a:ext>
          </a:extLst>
        </xdr:cNvPr>
        <xdr:cNvSpPr/>
      </xdr:nvSpPr>
      <xdr:spPr>
        <a:xfrm>
          <a:off x="10058400" y="203200"/>
          <a:ext cx="660400" cy="431800"/>
        </a:xfrm>
        <a:prstGeom prst="rightArrow">
          <a:avLst/>
        </a:prstGeom>
        <a:effectLst>
          <a:glow>
            <a:schemeClr val="accent2">
              <a:satMod val="175000"/>
              <a:alpha val="68000"/>
            </a:schemeClr>
          </a:glow>
          <a:outerShdw blurRad="57150" dist="19050" dir="5400000" algn="ctr" rotWithShape="0">
            <a:srgbClr val="000000">
              <a:alpha val="63000"/>
            </a:srgbClr>
          </a:outerShdw>
          <a:reflection endPos="0" dir="5400000" sy="-100000" algn="bl" rotWithShape="0"/>
          <a:softEdge rad="0"/>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b="1" i="1">
              <a:solidFill>
                <a:sysClr val="windowText" lastClr="000000"/>
              </a:solidFill>
            </a:rPr>
            <a:t>NEXT</a:t>
          </a:r>
        </a:p>
      </xdr:txBody>
    </xdr:sp>
    <xdr:clientData/>
  </xdr:twoCellAnchor>
  <xdr:twoCellAnchor>
    <xdr:from>
      <xdr:col>9</xdr:col>
      <xdr:colOff>711200</xdr:colOff>
      <xdr:row>6</xdr:row>
      <xdr:rowOff>38100</xdr:rowOff>
    </xdr:from>
    <xdr:to>
      <xdr:col>9</xdr:col>
      <xdr:colOff>800100</xdr:colOff>
      <xdr:row>6</xdr:row>
      <xdr:rowOff>158750</xdr:rowOff>
    </xdr:to>
    <xdr:sp macro="" textlink="">
      <xdr:nvSpPr>
        <xdr:cNvPr id="2" name="Down Arrow 1">
          <a:extLst>
            <a:ext uri="{FF2B5EF4-FFF2-40B4-BE49-F238E27FC236}">
              <a16:creationId xmlns="" xmlns:a16="http://schemas.microsoft.com/office/drawing/2014/main" id="{00000000-0008-0000-0400-000002000000}"/>
            </a:ext>
          </a:extLst>
        </xdr:cNvPr>
        <xdr:cNvSpPr/>
      </xdr:nvSpPr>
      <xdr:spPr>
        <a:xfrm>
          <a:off x="7029450" y="1447800"/>
          <a:ext cx="88900" cy="120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260350</xdr:colOff>
      <xdr:row>2</xdr:row>
      <xdr:rowOff>12700</xdr:rowOff>
    </xdr:from>
    <xdr:to>
      <xdr:col>9</xdr:col>
      <xdr:colOff>82550</xdr:colOff>
      <xdr:row>2</xdr:row>
      <xdr:rowOff>203200</xdr:rowOff>
    </xdr:to>
    <xdr:sp macro="" textlink="">
      <xdr:nvSpPr>
        <xdr:cNvPr id="3" name="Rounded Rectangle 2">
          <a:extLst>
            <a:ext uri="{FF2B5EF4-FFF2-40B4-BE49-F238E27FC236}">
              <a16:creationId xmlns="" xmlns:a16="http://schemas.microsoft.com/office/drawing/2014/main" id="{00000000-0008-0000-0400-000003000000}"/>
            </a:ext>
          </a:extLst>
        </xdr:cNvPr>
        <xdr:cNvSpPr/>
      </xdr:nvSpPr>
      <xdr:spPr>
        <a:xfrm>
          <a:off x="4368800" y="476250"/>
          <a:ext cx="2032000" cy="190500"/>
        </a:xfrm>
        <a:prstGeom prst="round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GB" sz="1100">
              <a:latin typeface="Cambria" panose="02040503050406030204" pitchFamily="18" charset="0"/>
              <a:ea typeface="Cambria" panose="02040503050406030204" pitchFamily="18" charset="0"/>
            </a:rPr>
            <a:t>DATA ENTRY (CHECK &amp;EDIT)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0</xdr:colOff>
      <xdr:row>1</xdr:row>
      <xdr:rowOff>0</xdr:rowOff>
    </xdr:from>
    <xdr:to>
      <xdr:col>37</xdr:col>
      <xdr:colOff>50800</xdr:colOff>
      <xdr:row>2</xdr:row>
      <xdr:rowOff>82550</xdr:rowOff>
    </xdr:to>
    <xdr:sp macro="" textlink="">
      <xdr:nvSpPr>
        <xdr:cNvPr id="3" name="Right Arrow 2">
          <a:hlinkClick xmlns:r="http://schemas.openxmlformats.org/officeDocument/2006/relationships" r:id="rId1"/>
          <a:extLst>
            <a:ext uri="{FF2B5EF4-FFF2-40B4-BE49-F238E27FC236}">
              <a16:creationId xmlns="" xmlns:a16="http://schemas.microsoft.com/office/drawing/2014/main" id="{00000000-0008-0000-0500-000003000000}"/>
            </a:ext>
          </a:extLst>
        </xdr:cNvPr>
        <xdr:cNvSpPr/>
      </xdr:nvSpPr>
      <xdr:spPr>
        <a:xfrm>
          <a:off x="18034000" y="184150"/>
          <a:ext cx="660400" cy="431800"/>
        </a:xfrm>
        <a:prstGeom prst="rightArrow">
          <a:avLst/>
        </a:prstGeom>
        <a:effectLst>
          <a:glow>
            <a:schemeClr val="accent2">
              <a:satMod val="175000"/>
              <a:alpha val="68000"/>
            </a:schemeClr>
          </a:glow>
          <a:outerShdw blurRad="57150" dist="19050" dir="5400000" algn="ctr" rotWithShape="0">
            <a:srgbClr val="000000">
              <a:alpha val="63000"/>
            </a:srgbClr>
          </a:outerShdw>
          <a:reflection endPos="0" dir="5400000" sy="-100000" algn="bl" rotWithShape="0"/>
          <a:softEdge rad="0"/>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b="1" i="1">
              <a:solidFill>
                <a:sysClr val="windowText" lastClr="000000"/>
              </a:solidFill>
            </a:rPr>
            <a:t>NEXT</a:t>
          </a:r>
        </a:p>
      </xdr:txBody>
    </xdr:sp>
    <xdr:clientData/>
  </xdr:twoCellAnchor>
  <xdr:twoCellAnchor>
    <xdr:from>
      <xdr:col>36</xdr:col>
      <xdr:colOff>311150</xdr:colOff>
      <xdr:row>2</xdr:row>
      <xdr:rowOff>196850</xdr:rowOff>
    </xdr:from>
    <xdr:to>
      <xdr:col>37</xdr:col>
      <xdr:colOff>342900</xdr:colOff>
      <xdr:row>5</xdr:row>
      <xdr:rowOff>6350</xdr:rowOff>
    </xdr:to>
    <xdr:sp macro="" textlink="">
      <xdr:nvSpPr>
        <xdr:cNvPr id="4" name="Left Arrow 3">
          <a:hlinkClick xmlns:r="http://schemas.openxmlformats.org/officeDocument/2006/relationships" r:id="rId2"/>
          <a:extLst>
            <a:ext uri="{FF2B5EF4-FFF2-40B4-BE49-F238E27FC236}">
              <a16:creationId xmlns="" xmlns:a16="http://schemas.microsoft.com/office/drawing/2014/main" id="{00000000-0008-0000-0500-000004000000}"/>
            </a:ext>
          </a:extLst>
        </xdr:cNvPr>
        <xdr:cNvSpPr/>
      </xdr:nvSpPr>
      <xdr:spPr>
        <a:xfrm>
          <a:off x="18345150" y="730250"/>
          <a:ext cx="641350" cy="425450"/>
        </a:xfrm>
        <a:prstGeom prst="lef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GB" sz="1100" b="1"/>
            <a:t>BACK</a:t>
          </a:r>
        </a:p>
      </xdr:txBody>
    </xdr:sp>
    <xdr:clientData/>
  </xdr:twoCellAnchor>
  <xdr:twoCellAnchor>
    <xdr:from>
      <xdr:col>37</xdr:col>
      <xdr:colOff>247650</xdr:colOff>
      <xdr:row>1</xdr:row>
      <xdr:rowOff>25400</xdr:rowOff>
    </xdr:from>
    <xdr:to>
      <xdr:col>41</xdr:col>
      <xdr:colOff>533400</xdr:colOff>
      <xdr:row>6</xdr:row>
      <xdr:rowOff>6350</xdr:rowOff>
    </xdr:to>
    <xdr:sp macro="" textlink="">
      <xdr:nvSpPr>
        <xdr:cNvPr id="5" name="Vertical Scroll 4">
          <a:extLst>
            <a:ext uri="{FF2B5EF4-FFF2-40B4-BE49-F238E27FC236}">
              <a16:creationId xmlns="" xmlns:a16="http://schemas.microsoft.com/office/drawing/2014/main" id="{00000000-0008-0000-0500-000005000000}"/>
            </a:ext>
          </a:extLst>
        </xdr:cNvPr>
        <xdr:cNvSpPr/>
      </xdr:nvSpPr>
      <xdr:spPr>
        <a:xfrm>
          <a:off x="18891250" y="209550"/>
          <a:ext cx="2724150" cy="1123950"/>
        </a:xfrm>
        <a:prstGeom prst="verticalScrol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hi-IN" sz="1100"/>
            <a:t>अनावश्यक ROW और कॉलम निम्न बटन पर क्लिक कर HIDE या Unhide करके प्रिंट निकाल सकते है</a:t>
          </a:r>
          <a:endParaRPr lang="en-GB" sz="1100"/>
        </a:p>
      </xdr:txBody>
    </xdr:sp>
    <xdr:clientData/>
  </xdr:twoCellAnchor>
  <xdr:twoCellAnchor editAs="oneCell">
    <xdr:from>
      <xdr:col>36</xdr:col>
      <xdr:colOff>323850</xdr:colOff>
      <xdr:row>8</xdr:row>
      <xdr:rowOff>139700</xdr:rowOff>
    </xdr:from>
    <xdr:to>
      <xdr:col>42</xdr:col>
      <xdr:colOff>88900</xdr:colOff>
      <xdr:row>27</xdr:row>
      <xdr:rowOff>120650</xdr:rowOff>
    </xdr:to>
    <xdr:sp macro="" textlink="">
      <xdr:nvSpPr>
        <xdr:cNvPr id="2" name="Frame 1">
          <a:extLst>
            <a:ext uri="{FF2B5EF4-FFF2-40B4-BE49-F238E27FC236}">
              <a16:creationId xmlns="" xmlns:a16="http://schemas.microsoft.com/office/drawing/2014/main" id="{00000000-0008-0000-0500-000002000000}"/>
            </a:ext>
          </a:extLst>
        </xdr:cNvPr>
        <xdr:cNvSpPr/>
      </xdr:nvSpPr>
      <xdr:spPr>
        <a:xfrm>
          <a:off x="18357850" y="1835150"/>
          <a:ext cx="3422650" cy="3479800"/>
        </a:xfrm>
        <a:prstGeom prst="frame">
          <a:avLst>
            <a:gd name="adj1" fmla="val 9885"/>
          </a:avLst>
        </a:prstGeom>
        <a:ln w="19050">
          <a:noFill/>
        </a:ln>
        <a:effectLst>
          <a:outerShdw blurRad="184150" dist="241300" dir="11520000" sx="110000" sy="110000" algn="ctr">
            <a:srgbClr val="000000">
              <a:alpha val="18000"/>
            </a:srgbClr>
          </a:outerShdw>
        </a:effectLst>
        <a:scene3d>
          <a:camera prst="perspectiveFront" fov="5100000">
            <a:rot lat="0" lon="2100000" rev="0"/>
          </a:camera>
          <a:lightRig rig="flood" dir="t">
            <a:rot lat="0" lon="0" rev="13800000"/>
          </a:lightRig>
        </a:scene3d>
        <a:sp3d extrusionH="107950" prstMaterial="plastic">
          <a:bevelT w="82550" h="63500" prst="divot"/>
          <a:bevelB/>
        </a:sp3d>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36</xdr:col>
      <xdr:colOff>222250</xdr:colOff>
      <xdr:row>5</xdr:row>
      <xdr:rowOff>12700</xdr:rowOff>
    </xdr:from>
    <xdr:to>
      <xdr:col>37</xdr:col>
      <xdr:colOff>355600</xdr:colOff>
      <xdr:row>17</xdr:row>
      <xdr:rowOff>12700</xdr:rowOff>
    </xdr:to>
    <xdr:sp macro="" textlink="">
      <xdr:nvSpPr>
        <xdr:cNvPr id="6" name="Curved Right Arrow 5">
          <a:extLst>
            <a:ext uri="{FF2B5EF4-FFF2-40B4-BE49-F238E27FC236}">
              <a16:creationId xmlns="" xmlns:a16="http://schemas.microsoft.com/office/drawing/2014/main" id="{00000000-0008-0000-0500-000006000000}"/>
            </a:ext>
          </a:extLst>
        </xdr:cNvPr>
        <xdr:cNvSpPr/>
      </xdr:nvSpPr>
      <xdr:spPr>
        <a:xfrm>
          <a:off x="18256250" y="1155700"/>
          <a:ext cx="742950" cy="2209800"/>
        </a:xfrm>
        <a:prstGeom prst="curvedRightArrow">
          <a:avLst/>
        </a:prstGeom>
        <a:ln>
          <a:solidFill>
            <a:sysClr val="windowText" lastClr="000000"/>
          </a:solidFill>
        </a:ln>
        <a:effectLst>
          <a:glow rad="139700">
            <a:schemeClr val="accent2">
              <a:satMod val="175000"/>
              <a:alpha val="40000"/>
            </a:schemeClr>
          </a:glow>
          <a:outerShdw blurRad="57150" dist="19050" dir="5400000" algn="ctr" rotWithShape="0">
            <a:srgbClr val="000000">
              <a:alpha val="63000"/>
            </a:srgbClr>
          </a:outerShdw>
        </a:effectLst>
        <a:scene3d>
          <a:camera prst="perspectiveRelaxedModerately"/>
          <a:lightRig rig="threePt" dir="t"/>
        </a:scene3d>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37</xdr:col>
          <xdr:colOff>541020</xdr:colOff>
          <xdr:row>11</xdr:row>
          <xdr:rowOff>137160</xdr:rowOff>
        </xdr:from>
        <xdr:to>
          <xdr:col>39</xdr:col>
          <xdr:colOff>251460</xdr:colOff>
          <xdr:row>13</xdr:row>
          <xdr:rowOff>60960</xdr:rowOff>
        </xdr:to>
        <xdr:sp macro="" textlink="">
          <xdr:nvSpPr>
            <xdr:cNvPr id="8194" name="CommandButton1" hidden="1">
              <a:extLst>
                <a:ext uri="{63B3BB69-23CF-44E3-9099-C40C66FF867C}">
                  <a14:compatExt spid="_x0000_s81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495300</xdr:colOff>
          <xdr:row>11</xdr:row>
          <xdr:rowOff>137160</xdr:rowOff>
        </xdr:from>
        <xdr:to>
          <xdr:col>41</xdr:col>
          <xdr:colOff>137160</xdr:colOff>
          <xdr:row>13</xdr:row>
          <xdr:rowOff>60960</xdr:rowOff>
        </xdr:to>
        <xdr:sp macro="" textlink="">
          <xdr:nvSpPr>
            <xdr:cNvPr id="8195" name="CommandButton2" hidden="1">
              <a:extLst>
                <a:ext uri="{63B3BB69-23CF-44E3-9099-C40C66FF867C}">
                  <a14:compatExt spid="_x0000_s81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579120</xdr:colOff>
          <xdr:row>16</xdr:row>
          <xdr:rowOff>38100</xdr:rowOff>
        </xdr:from>
        <xdr:to>
          <xdr:col>39</xdr:col>
          <xdr:colOff>236220</xdr:colOff>
          <xdr:row>17</xdr:row>
          <xdr:rowOff>167640</xdr:rowOff>
        </xdr:to>
        <xdr:sp macro="" textlink="">
          <xdr:nvSpPr>
            <xdr:cNvPr id="8197" name="CommandButton3" hidden="1">
              <a:extLst>
                <a:ext uri="{63B3BB69-23CF-44E3-9099-C40C66FF867C}">
                  <a14:compatExt spid="_x0000_s819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502920</xdr:colOff>
          <xdr:row>16</xdr:row>
          <xdr:rowOff>22860</xdr:rowOff>
        </xdr:from>
        <xdr:to>
          <xdr:col>41</xdr:col>
          <xdr:colOff>175260</xdr:colOff>
          <xdr:row>17</xdr:row>
          <xdr:rowOff>137160</xdr:rowOff>
        </xdr:to>
        <xdr:sp macro="" textlink="">
          <xdr:nvSpPr>
            <xdr:cNvPr id="8200" name="CommandButton4" hidden="1">
              <a:extLst>
                <a:ext uri="{63B3BB69-23CF-44E3-9099-C40C66FF867C}">
                  <a14:compatExt spid="_x0000_s820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563880</xdr:colOff>
          <xdr:row>13</xdr:row>
          <xdr:rowOff>175260</xdr:rowOff>
        </xdr:from>
        <xdr:to>
          <xdr:col>39</xdr:col>
          <xdr:colOff>243840</xdr:colOff>
          <xdr:row>15</xdr:row>
          <xdr:rowOff>114300</xdr:rowOff>
        </xdr:to>
        <xdr:sp macro="" textlink="">
          <xdr:nvSpPr>
            <xdr:cNvPr id="8202" name="CommandButton5" hidden="1">
              <a:extLst>
                <a:ext uri="{63B3BB69-23CF-44E3-9099-C40C66FF867C}">
                  <a14:compatExt spid="_x0000_s820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502920</xdr:colOff>
          <xdr:row>13</xdr:row>
          <xdr:rowOff>175260</xdr:rowOff>
        </xdr:from>
        <xdr:to>
          <xdr:col>41</xdr:col>
          <xdr:colOff>144780</xdr:colOff>
          <xdr:row>15</xdr:row>
          <xdr:rowOff>106680</xdr:rowOff>
        </xdr:to>
        <xdr:sp macro="" textlink="">
          <xdr:nvSpPr>
            <xdr:cNvPr id="8204" name="CommandButton6" hidden="1">
              <a:extLst>
                <a:ext uri="{63B3BB69-23CF-44E3-9099-C40C66FF867C}">
                  <a14:compatExt spid="_x0000_s820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579120</xdr:colOff>
          <xdr:row>18</xdr:row>
          <xdr:rowOff>91440</xdr:rowOff>
        </xdr:from>
        <xdr:to>
          <xdr:col>39</xdr:col>
          <xdr:colOff>236220</xdr:colOff>
          <xdr:row>20</xdr:row>
          <xdr:rowOff>30480</xdr:rowOff>
        </xdr:to>
        <xdr:sp macro="" textlink="">
          <xdr:nvSpPr>
            <xdr:cNvPr id="8206" name="CommandButton7" hidden="1">
              <a:extLst>
                <a:ext uri="{63B3BB69-23CF-44E3-9099-C40C66FF867C}">
                  <a14:compatExt spid="_x0000_s820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594360</xdr:colOff>
          <xdr:row>20</xdr:row>
          <xdr:rowOff>137160</xdr:rowOff>
        </xdr:from>
        <xdr:to>
          <xdr:col>39</xdr:col>
          <xdr:colOff>243840</xdr:colOff>
          <xdr:row>22</xdr:row>
          <xdr:rowOff>83820</xdr:rowOff>
        </xdr:to>
        <xdr:sp macro="" textlink="">
          <xdr:nvSpPr>
            <xdr:cNvPr id="8208" name="CommandButton8" hidden="1">
              <a:extLst>
                <a:ext uri="{63B3BB69-23CF-44E3-9099-C40C66FF867C}">
                  <a14:compatExt spid="_x0000_s820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571500</xdr:colOff>
          <xdr:row>22</xdr:row>
          <xdr:rowOff>121920</xdr:rowOff>
        </xdr:from>
        <xdr:to>
          <xdr:col>39</xdr:col>
          <xdr:colOff>274320</xdr:colOff>
          <xdr:row>24</xdr:row>
          <xdr:rowOff>30480</xdr:rowOff>
        </xdr:to>
        <xdr:sp macro="" textlink="">
          <xdr:nvSpPr>
            <xdr:cNvPr id="8210" name="CommandButton9" hidden="1">
              <a:extLst>
                <a:ext uri="{63B3BB69-23CF-44E3-9099-C40C66FF867C}">
                  <a14:compatExt spid="_x0000_s821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502920</xdr:colOff>
          <xdr:row>18</xdr:row>
          <xdr:rowOff>60960</xdr:rowOff>
        </xdr:from>
        <xdr:to>
          <xdr:col>41</xdr:col>
          <xdr:colOff>175260</xdr:colOff>
          <xdr:row>20</xdr:row>
          <xdr:rowOff>7620</xdr:rowOff>
        </xdr:to>
        <xdr:sp macro="" textlink="">
          <xdr:nvSpPr>
            <xdr:cNvPr id="8211" name="CommandButton10" hidden="1">
              <a:extLst>
                <a:ext uri="{63B3BB69-23CF-44E3-9099-C40C66FF867C}">
                  <a14:compatExt spid="_x0000_s821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480060</xdr:colOff>
          <xdr:row>20</xdr:row>
          <xdr:rowOff>121920</xdr:rowOff>
        </xdr:from>
        <xdr:to>
          <xdr:col>41</xdr:col>
          <xdr:colOff>205740</xdr:colOff>
          <xdr:row>22</xdr:row>
          <xdr:rowOff>60960</xdr:rowOff>
        </xdr:to>
        <xdr:sp macro="" textlink="">
          <xdr:nvSpPr>
            <xdr:cNvPr id="8213" name="CommandButton11" hidden="1">
              <a:extLst>
                <a:ext uri="{63B3BB69-23CF-44E3-9099-C40C66FF867C}">
                  <a14:compatExt spid="_x0000_s821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518160</xdr:colOff>
          <xdr:row>22</xdr:row>
          <xdr:rowOff>106680</xdr:rowOff>
        </xdr:from>
        <xdr:to>
          <xdr:col>41</xdr:col>
          <xdr:colOff>220980</xdr:colOff>
          <xdr:row>24</xdr:row>
          <xdr:rowOff>7620</xdr:rowOff>
        </xdr:to>
        <xdr:sp macro="" textlink="">
          <xdr:nvSpPr>
            <xdr:cNvPr id="8214" name="CommandButton12" hidden="1">
              <a:extLst>
                <a:ext uri="{63B3BB69-23CF-44E3-9099-C40C66FF867C}">
                  <a14:compatExt spid="_x0000_s8214"/>
                </a:ext>
              </a:extLst>
            </xdr:cNvPr>
            <xdr:cNvSpPr/>
          </xdr:nvSpPr>
          <xdr:spPr>
            <a:xfrm>
              <a:off x="0" y="0"/>
              <a:ext cx="0" cy="0"/>
            </a:xfrm>
            <a:prstGeom prst="rect">
              <a:avLst/>
            </a:prstGeom>
          </xdr:spPr>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25</xdr:col>
      <xdr:colOff>0</xdr:colOff>
      <xdr:row>0</xdr:row>
      <xdr:rowOff>0</xdr:rowOff>
    </xdr:from>
    <xdr:to>
      <xdr:col>26</xdr:col>
      <xdr:colOff>0</xdr:colOff>
      <xdr:row>1</xdr:row>
      <xdr:rowOff>44450</xdr:rowOff>
    </xdr:to>
    <xdr:sp macro="" textlink="">
      <xdr:nvSpPr>
        <xdr:cNvPr id="7" name="Left Arrow 6">
          <a:hlinkClick xmlns:r="http://schemas.openxmlformats.org/officeDocument/2006/relationships" r:id="rId1"/>
          <a:extLst>
            <a:ext uri="{FF2B5EF4-FFF2-40B4-BE49-F238E27FC236}">
              <a16:creationId xmlns="" xmlns:a16="http://schemas.microsoft.com/office/drawing/2014/main" id="{00000000-0008-0000-0700-000007000000}"/>
            </a:ext>
          </a:extLst>
        </xdr:cNvPr>
        <xdr:cNvSpPr/>
      </xdr:nvSpPr>
      <xdr:spPr>
        <a:xfrm>
          <a:off x="11963400" y="0"/>
          <a:ext cx="641350" cy="425450"/>
        </a:xfrm>
        <a:prstGeom prst="lef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GB" sz="1100" b="1"/>
            <a:t>BACK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25.09.2020\1599657899_Arrea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R%20JOSHI_13DOL%20data/SOFTWARE/SpellNumbe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rrear Sheet"/>
      <sheetName val="Fixation"/>
      <sheetName val="ACP"/>
      <sheetName val="Notional"/>
      <sheetName val="Promotion"/>
      <sheetName val="HRA"/>
      <sheetName val="7th pay chart"/>
    </sheetNames>
    <sheetDataSet>
      <sheetData sheetId="0"/>
      <sheetData sheetId="1">
        <row r="5">
          <cell r="AX5" t="str">
            <v>JAN</v>
          </cell>
        </row>
        <row r="6">
          <cell r="AX6" t="str">
            <v>FEB</v>
          </cell>
        </row>
        <row r="7">
          <cell r="AX7" t="str">
            <v>MAR</v>
          </cell>
        </row>
        <row r="8">
          <cell r="AX8" t="str">
            <v>APR</v>
          </cell>
        </row>
        <row r="9">
          <cell r="AX9" t="str">
            <v>MAY</v>
          </cell>
        </row>
        <row r="10">
          <cell r="AX10" t="str">
            <v>JUN</v>
          </cell>
        </row>
        <row r="11">
          <cell r="AX11" t="str">
            <v>JUL</v>
          </cell>
        </row>
        <row r="12">
          <cell r="AX12" t="str">
            <v>AUG</v>
          </cell>
        </row>
        <row r="13">
          <cell r="AX13" t="str">
            <v>SEP</v>
          </cell>
        </row>
        <row r="14">
          <cell r="AX14" t="str">
            <v>OCT</v>
          </cell>
        </row>
        <row r="15">
          <cell r="AX15" t="str">
            <v>NOV</v>
          </cell>
        </row>
        <row r="16">
          <cell r="AX16" t="str">
            <v>DEC</v>
          </cell>
        </row>
      </sheetData>
      <sheetData sheetId="2"/>
      <sheetData sheetId="3">
        <row r="2">
          <cell r="S2" t="str">
            <v>9 वर्षीय</v>
          </cell>
        </row>
        <row r="3">
          <cell r="S3" t="str">
            <v>18 वर्षीय</v>
          </cell>
        </row>
        <row r="4">
          <cell r="S4" t="str">
            <v>27 वर्षीय</v>
          </cell>
        </row>
        <row r="5">
          <cell r="S5" t="str">
            <v>20 वर्षीय</v>
          </cell>
        </row>
        <row r="6">
          <cell r="S6" t="str">
            <v>30 वर्षीय</v>
          </cell>
        </row>
        <row r="7">
          <cell r="S7" t="str">
            <v>से प्रथम ACP</v>
          </cell>
        </row>
        <row r="8">
          <cell r="S8" t="str">
            <v>से द्वितीय ACP</v>
          </cell>
        </row>
        <row r="9">
          <cell r="S9" t="str">
            <v>से तृतीय ACP</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definedNames>
      <definedName name="SpellNumber"/>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9.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4.vml"/><Relationship Id="rId21" Type="http://schemas.openxmlformats.org/officeDocument/2006/relationships/image" Target="../media/image13.emf"/><Relationship Id="rId7" Type="http://schemas.openxmlformats.org/officeDocument/2006/relationships/image" Target="../media/image6.emf"/><Relationship Id="rId12" Type="http://schemas.openxmlformats.org/officeDocument/2006/relationships/control" Target="../activeX/activeX5.xml"/><Relationship Id="rId17" Type="http://schemas.openxmlformats.org/officeDocument/2006/relationships/image" Target="../media/image11.emf"/><Relationship Id="rId25" Type="http://schemas.openxmlformats.org/officeDocument/2006/relationships/image" Target="../media/image15.emf"/><Relationship Id="rId2" Type="http://schemas.openxmlformats.org/officeDocument/2006/relationships/drawing" Target="../drawings/drawing6.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5.bin"/><Relationship Id="rId6" Type="http://schemas.openxmlformats.org/officeDocument/2006/relationships/control" Target="../activeX/activeX2.xml"/><Relationship Id="rId11" Type="http://schemas.openxmlformats.org/officeDocument/2006/relationships/image" Target="../media/image8.emf"/><Relationship Id="rId24" Type="http://schemas.openxmlformats.org/officeDocument/2006/relationships/control" Target="../activeX/activeX11.xml"/><Relationship Id="rId5" Type="http://schemas.openxmlformats.org/officeDocument/2006/relationships/image" Target="../media/image5.emf"/><Relationship Id="rId15" Type="http://schemas.openxmlformats.org/officeDocument/2006/relationships/image" Target="../media/image10.emf"/><Relationship Id="rId23"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image" Target="../media/image12.emf"/><Relationship Id="rId4" Type="http://schemas.openxmlformats.org/officeDocument/2006/relationships/control" Target="../activeX/activeX1.xml"/><Relationship Id="rId9" Type="http://schemas.openxmlformats.org/officeDocument/2006/relationships/image" Target="../media/image7.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6.emf"/></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X51"/>
  <sheetViews>
    <sheetView showGridLines="0" topLeftCell="O10" zoomScale="115" zoomScaleNormal="115" workbookViewId="0">
      <selection activeCell="T18" sqref="T18"/>
    </sheetView>
  </sheetViews>
  <sheetFormatPr defaultColWidth="8.77734375" defaultRowHeight="14.4" x14ac:dyDescent="0.3"/>
  <cols>
    <col min="1" max="1" width="5.21875" style="23" customWidth="1"/>
    <col min="2" max="2" width="21.5546875" style="23" customWidth="1"/>
    <col min="3" max="3" width="12.77734375" style="23" customWidth="1"/>
    <col min="4" max="4" width="11.21875" style="23" bestFit="1" customWidth="1"/>
    <col min="5" max="5" width="11" style="23" bestFit="1" customWidth="1"/>
    <col min="6" max="6" width="14.44140625" style="23" customWidth="1"/>
    <col min="7" max="7" width="11.21875" style="23" customWidth="1"/>
    <col min="8" max="8" width="13.5546875" style="28" customWidth="1"/>
    <col min="9" max="10" width="8.77734375" style="23"/>
    <col min="11" max="11" width="11.21875" style="23" customWidth="1"/>
    <col min="12" max="12" width="7" style="23" customWidth="1"/>
    <col min="13" max="13" width="8.77734375" style="23"/>
    <col min="14" max="14" width="25.44140625" style="23" customWidth="1"/>
    <col min="15" max="16" width="8.77734375" style="23"/>
    <col min="17" max="44" width="8.77734375" style="23" customWidth="1"/>
    <col min="45" max="46" width="8.77734375" style="23"/>
    <col min="47" max="50" width="0" style="23" hidden="1" customWidth="1"/>
    <col min="51" max="16384" width="8.77734375" style="23"/>
  </cols>
  <sheetData>
    <row r="1" spans="1:50" ht="25.2" x14ac:dyDescent="0.3">
      <c r="A1" s="224" t="str">
        <f>N5</f>
        <v>dk;kZy; iz/kkukpk;Z jktdh; mPp ek/;fed fo|ky; 13 Mhvks,y Jhxaxkuxj</v>
      </c>
      <c r="B1" s="224"/>
      <c r="C1" s="224"/>
      <c r="D1" s="224"/>
      <c r="E1" s="224"/>
      <c r="F1" s="224"/>
      <c r="G1" s="224"/>
      <c r="H1" s="224"/>
      <c r="I1" s="224"/>
      <c r="J1" s="224"/>
      <c r="K1" s="224"/>
    </row>
    <row r="2" spans="1:50" ht="13.5" customHeight="1" x14ac:dyDescent="0.3">
      <c r="A2" s="24"/>
      <c r="B2" s="24" t="s">
        <v>56</v>
      </c>
      <c r="C2" s="24"/>
      <c r="D2" s="24"/>
      <c r="E2" s="24"/>
      <c r="F2" s="24"/>
      <c r="G2" s="24"/>
      <c r="H2" s="41"/>
      <c r="I2" s="24" t="s">
        <v>13</v>
      </c>
      <c r="J2" s="24"/>
      <c r="K2" s="24"/>
    </row>
    <row r="3" spans="1:50" ht="16.5" customHeight="1" x14ac:dyDescent="0.4">
      <c r="A3" s="228" t="s">
        <v>0</v>
      </c>
      <c r="B3" s="228"/>
      <c r="C3" s="228"/>
      <c r="D3" s="228"/>
      <c r="E3" s="228"/>
      <c r="F3" s="228"/>
      <c r="G3" s="228"/>
      <c r="H3" s="228"/>
      <c r="I3" s="228"/>
      <c r="J3" s="228"/>
      <c r="K3" s="228"/>
    </row>
    <row r="4" spans="1:50" ht="46.05" customHeight="1" x14ac:dyDescent="0.3">
      <c r="A4" s="229" t="s">
        <v>96</v>
      </c>
      <c r="B4" s="229"/>
      <c r="C4" s="229"/>
      <c r="D4" s="229"/>
      <c r="E4" s="229"/>
      <c r="F4" s="229"/>
      <c r="G4" s="229"/>
      <c r="H4" s="229"/>
      <c r="I4" s="229"/>
      <c r="J4" s="229"/>
      <c r="K4" s="229"/>
    </row>
    <row r="5" spans="1:50" ht="21.6" customHeight="1" x14ac:dyDescent="0.3">
      <c r="A5" s="230"/>
      <c r="B5" s="230"/>
      <c r="C5" s="230"/>
      <c r="D5" s="230"/>
      <c r="E5" s="230"/>
      <c r="F5" s="230"/>
      <c r="G5" s="230"/>
      <c r="H5" s="230"/>
      <c r="I5" s="230"/>
      <c r="J5" s="230"/>
      <c r="K5" s="230"/>
      <c r="L5" s="246" t="s">
        <v>71</v>
      </c>
      <c r="M5" s="246"/>
      <c r="N5" s="247" t="s">
        <v>70</v>
      </c>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row>
    <row r="6" spans="1:50" s="24" customFormat="1" ht="45.6" customHeight="1" x14ac:dyDescent="0.3">
      <c r="A6" s="233" t="s">
        <v>14</v>
      </c>
      <c r="B6" s="231" t="s">
        <v>15</v>
      </c>
      <c r="C6" s="231" t="s">
        <v>16</v>
      </c>
      <c r="D6" s="231" t="s">
        <v>75</v>
      </c>
      <c r="E6" s="231" t="s">
        <v>82</v>
      </c>
      <c r="F6" s="235" t="s">
        <v>99</v>
      </c>
      <c r="G6" s="237" t="s">
        <v>76</v>
      </c>
      <c r="H6" s="238"/>
      <c r="I6" s="238"/>
      <c r="J6" s="239"/>
      <c r="K6" s="235" t="s">
        <v>19</v>
      </c>
      <c r="L6" s="254" t="s">
        <v>101</v>
      </c>
      <c r="M6" s="255"/>
      <c r="N6" s="256"/>
      <c r="AU6" s="54">
        <f>YEAR(F9)</f>
        <v>2020</v>
      </c>
      <c r="AV6" s="47">
        <v>7</v>
      </c>
      <c r="AW6" s="47">
        <v>1</v>
      </c>
      <c r="AX6" s="55">
        <f>MONTH(F9)</f>
        <v>9</v>
      </c>
    </row>
    <row r="7" spans="1:50" ht="24" customHeight="1" x14ac:dyDescent="0.3">
      <c r="A7" s="234"/>
      <c r="B7" s="232"/>
      <c r="C7" s="232"/>
      <c r="D7" s="232"/>
      <c r="E7" s="232"/>
      <c r="F7" s="236"/>
      <c r="G7" s="56" t="s">
        <v>13</v>
      </c>
      <c r="H7" s="56" t="s">
        <v>77</v>
      </c>
      <c r="I7" s="56" t="s">
        <v>17</v>
      </c>
      <c r="J7" s="56" t="s">
        <v>18</v>
      </c>
      <c r="K7" s="236"/>
      <c r="L7" s="250" t="s">
        <v>98</v>
      </c>
      <c r="M7" s="251"/>
      <c r="N7" s="25" t="s">
        <v>64</v>
      </c>
      <c r="Q7" s="23">
        <v>9</v>
      </c>
      <c r="R7" s="26" t="s">
        <v>61</v>
      </c>
      <c r="T7" s="23" t="s">
        <v>20</v>
      </c>
      <c r="U7" s="23" t="s">
        <v>21</v>
      </c>
      <c r="AD7" s="23" t="s">
        <v>22</v>
      </c>
      <c r="AH7" s="23" t="s">
        <v>23</v>
      </c>
      <c r="AP7" s="23" t="s">
        <v>24</v>
      </c>
      <c r="AU7" s="54">
        <f t="shared" ref="AU7:AU13" si="0">YEAR(F10)</f>
        <v>1900</v>
      </c>
      <c r="AV7" s="47">
        <v>7</v>
      </c>
      <c r="AW7" s="47">
        <v>1</v>
      </c>
      <c r="AX7" s="55">
        <f t="shared" ref="AX7:AX13" si="1">MONTH(F10)</f>
        <v>1</v>
      </c>
    </row>
    <row r="8" spans="1:50" ht="12.6" customHeight="1" x14ac:dyDescent="0.3">
      <c r="A8" s="57" t="s">
        <v>85</v>
      </c>
      <c r="B8" s="57" t="s">
        <v>86</v>
      </c>
      <c r="C8" s="57" t="s">
        <v>87</v>
      </c>
      <c r="D8" s="57" t="s">
        <v>88</v>
      </c>
      <c r="E8" s="57" t="s">
        <v>89</v>
      </c>
      <c r="F8" s="57" t="s">
        <v>90</v>
      </c>
      <c r="G8" s="57" t="s">
        <v>91</v>
      </c>
      <c r="H8" s="57" t="s">
        <v>92</v>
      </c>
      <c r="I8" s="57" t="s">
        <v>93</v>
      </c>
      <c r="J8" s="57" t="s">
        <v>94</v>
      </c>
      <c r="K8" s="57" t="s">
        <v>95</v>
      </c>
      <c r="L8" s="252"/>
      <c r="M8" s="253"/>
      <c r="N8" s="25"/>
      <c r="R8" s="26"/>
      <c r="AU8" s="54">
        <f t="shared" si="0"/>
        <v>1900</v>
      </c>
      <c r="AV8" s="47">
        <v>7</v>
      </c>
      <c r="AW8" s="47">
        <v>1</v>
      </c>
      <c r="AX8" s="55">
        <f t="shared" si="1"/>
        <v>1</v>
      </c>
    </row>
    <row r="9" spans="1:50" ht="14.55" customHeight="1" x14ac:dyDescent="0.3">
      <c r="A9" s="52">
        <f>IF(B9="","",1)</f>
        <v>1</v>
      </c>
      <c r="B9" s="65" t="s">
        <v>83</v>
      </c>
      <c r="C9" s="65" t="s">
        <v>84</v>
      </c>
      <c r="D9" s="66">
        <v>33595</v>
      </c>
      <c r="E9" s="66">
        <v>43370</v>
      </c>
      <c r="F9" s="66">
        <v>44101</v>
      </c>
      <c r="G9" s="48">
        <f>IF(F9="","",F9)</f>
        <v>44101</v>
      </c>
      <c r="H9" s="49" t="str">
        <f>IFERROR(HLOOKUP($I9,Payband,2,0)&amp;"-"&amp;HLOOKUP($I9,Payband,3,0),"")</f>
        <v>33800-106700</v>
      </c>
      <c r="I9" s="58" t="s">
        <v>41</v>
      </c>
      <c r="J9" s="51">
        <f>IFERROR(IF(B9="","",HLOOKUP($I9,Payband,2,0)),"")</f>
        <v>33800</v>
      </c>
      <c r="K9" s="48">
        <f>IFERROR(IF(F9="","",IF(F9&lt;DATE(AU6,AV6,AW6),DATE(AU6,AV6,AW6),DATE((AU6)+1,AV6,AW6))),"")</f>
        <v>44378</v>
      </c>
      <c r="L9" s="248" t="s">
        <v>97</v>
      </c>
      <c r="M9" s="249"/>
      <c r="N9" s="20" t="s">
        <v>74</v>
      </c>
      <c r="Q9" s="23">
        <v>10</v>
      </c>
      <c r="R9" s="26" t="s">
        <v>61</v>
      </c>
      <c r="T9" s="23" t="s">
        <v>25</v>
      </c>
      <c r="U9" s="27">
        <v>1700</v>
      </c>
      <c r="V9" s="27">
        <v>1750</v>
      </c>
      <c r="W9" s="27">
        <v>1900</v>
      </c>
      <c r="X9" s="27">
        <v>2000</v>
      </c>
      <c r="Y9" s="27">
        <v>2400</v>
      </c>
      <c r="Z9" s="27">
        <v>2400</v>
      </c>
      <c r="AA9" s="27">
        <v>2400</v>
      </c>
      <c r="AB9" s="27">
        <v>2800</v>
      </c>
      <c r="AC9" s="27">
        <v>2800</v>
      </c>
      <c r="AD9" s="27">
        <v>3600</v>
      </c>
      <c r="AE9" s="27">
        <v>4200</v>
      </c>
      <c r="AF9" s="27">
        <v>4800</v>
      </c>
      <c r="AG9" s="27">
        <v>5400</v>
      </c>
      <c r="AH9" s="27">
        <v>5400</v>
      </c>
      <c r="AI9" s="27">
        <v>6000</v>
      </c>
      <c r="AJ9" s="27">
        <v>6600</v>
      </c>
      <c r="AK9" s="27">
        <v>6800</v>
      </c>
      <c r="AL9" s="27">
        <v>7200</v>
      </c>
      <c r="AM9" s="27">
        <v>7600</v>
      </c>
      <c r="AN9" s="27">
        <v>8200</v>
      </c>
      <c r="AO9" s="27">
        <v>8700</v>
      </c>
      <c r="AP9" s="27">
        <v>8900</v>
      </c>
      <c r="AQ9" s="27">
        <v>9500</v>
      </c>
      <c r="AR9" s="27">
        <v>10000</v>
      </c>
      <c r="AU9" s="54">
        <f t="shared" si="0"/>
        <v>1900</v>
      </c>
      <c r="AV9" s="47">
        <v>7</v>
      </c>
      <c r="AW9" s="47">
        <v>1</v>
      </c>
      <c r="AX9" s="55">
        <f t="shared" si="1"/>
        <v>1</v>
      </c>
    </row>
    <row r="10" spans="1:50" x14ac:dyDescent="0.3">
      <c r="A10" s="53" t="str">
        <f>IF(B10="","",MAX($A$9:A9)+1)</f>
        <v/>
      </c>
      <c r="B10" s="61"/>
      <c r="C10" s="61"/>
      <c r="D10" s="61"/>
      <c r="E10" s="63"/>
      <c r="F10" s="67"/>
      <c r="G10" s="48" t="str">
        <f t="shared" ref="G10:G13" si="2">IF(F10="","",F10)</f>
        <v/>
      </c>
      <c r="H10" s="50" t="str">
        <f>IFERROR(HLOOKUP($I10,Payband,2,0)&amp;"-"&amp;HLOOKUP($I10,Payband,3,0),"")</f>
        <v/>
      </c>
      <c r="I10" s="59"/>
      <c r="J10" s="51" t="str">
        <f>IFERROR(IF(B10="","",HLOOKUP($I10,Payband,2,0)),"")</f>
        <v/>
      </c>
      <c r="K10" s="48" t="str">
        <f t="shared" ref="K10:K13" si="3">IFERROR(IF(F10="","",IF(F10&lt;DATE(AU7,AV7,AW7),DATE(AU7,AV7,AW7),DATE((AU7)+1,AV7,AW7))),"")</f>
        <v/>
      </c>
      <c r="L10" s="248"/>
      <c r="M10" s="249"/>
      <c r="N10" s="22" t="s">
        <v>73</v>
      </c>
      <c r="Q10" s="23">
        <v>18</v>
      </c>
      <c r="R10" s="26" t="s">
        <v>62</v>
      </c>
      <c r="T10" s="23" t="s">
        <v>26</v>
      </c>
      <c r="U10" s="27">
        <v>2</v>
      </c>
      <c r="V10" s="27">
        <v>3</v>
      </c>
      <c r="W10" s="27">
        <v>4</v>
      </c>
      <c r="X10" s="27">
        <v>5</v>
      </c>
      <c r="Y10" s="27">
        <v>9</v>
      </c>
      <c r="Z10" s="23" t="s">
        <v>27</v>
      </c>
      <c r="AA10" s="23" t="s">
        <v>28</v>
      </c>
      <c r="AB10" s="27">
        <v>10</v>
      </c>
      <c r="AC10" s="23" t="s">
        <v>29</v>
      </c>
      <c r="AD10" s="27">
        <v>11</v>
      </c>
      <c r="AE10" s="27">
        <v>12</v>
      </c>
      <c r="AF10" s="27">
        <v>14</v>
      </c>
      <c r="AG10" s="27">
        <v>15</v>
      </c>
      <c r="AH10" s="27">
        <v>15</v>
      </c>
      <c r="AI10" s="27">
        <v>16</v>
      </c>
      <c r="AJ10" s="27">
        <v>17</v>
      </c>
      <c r="AK10" s="27">
        <v>18</v>
      </c>
      <c r="AL10" s="27">
        <v>19</v>
      </c>
      <c r="AM10" s="27">
        <v>20</v>
      </c>
      <c r="AN10" s="27">
        <v>21</v>
      </c>
      <c r="AO10" s="27">
        <v>22</v>
      </c>
      <c r="AP10" s="27">
        <v>23</v>
      </c>
      <c r="AQ10" s="23" t="s">
        <v>30</v>
      </c>
      <c r="AR10" s="27">
        <v>24</v>
      </c>
      <c r="AU10" s="54">
        <f t="shared" si="0"/>
        <v>1900</v>
      </c>
      <c r="AV10" s="47">
        <v>7</v>
      </c>
      <c r="AW10" s="47">
        <v>1</v>
      </c>
      <c r="AX10" s="55">
        <f t="shared" si="1"/>
        <v>1</v>
      </c>
    </row>
    <row r="11" spans="1:50" x14ac:dyDescent="0.3">
      <c r="A11" s="53" t="str">
        <f>IF(B11="","",MAX($A$9:A10)+1)</f>
        <v/>
      </c>
      <c r="B11" s="64"/>
      <c r="C11" s="64"/>
      <c r="D11" s="64"/>
      <c r="E11" s="64"/>
      <c r="F11" s="68"/>
      <c r="G11" s="48" t="str">
        <f t="shared" si="2"/>
        <v/>
      </c>
      <c r="H11" s="49" t="str">
        <f>IFERROR(HLOOKUP($I11,Payband,2,0)&amp;"-"&amp;HLOOKUP($I11,Payband,3,0),"")</f>
        <v/>
      </c>
      <c r="I11" s="60"/>
      <c r="J11" s="51" t="str">
        <f>IFERROR(IF(B11="","",HLOOKUP($I11,Payband,2,0)),"")</f>
        <v/>
      </c>
      <c r="K11" s="48" t="str">
        <f t="shared" si="3"/>
        <v/>
      </c>
      <c r="L11" s="248"/>
      <c r="M11" s="249"/>
      <c r="N11" s="22" t="s">
        <v>72</v>
      </c>
      <c r="Q11" s="23">
        <v>20</v>
      </c>
      <c r="R11" s="26" t="s">
        <v>62</v>
      </c>
      <c r="T11" s="23" t="s">
        <v>31</v>
      </c>
      <c r="U11" s="28" t="s">
        <v>32</v>
      </c>
      <c r="V11" s="28" t="s">
        <v>33</v>
      </c>
      <c r="W11" s="28" t="s">
        <v>34</v>
      </c>
      <c r="X11" s="23" t="s">
        <v>35</v>
      </c>
      <c r="Y11" s="23" t="s">
        <v>36</v>
      </c>
      <c r="Z11" s="23" t="s">
        <v>37</v>
      </c>
      <c r="AA11" s="23" t="s">
        <v>38</v>
      </c>
      <c r="AB11" s="23" t="s">
        <v>39</v>
      </c>
      <c r="AC11" s="23" t="s">
        <v>40</v>
      </c>
      <c r="AD11" s="23" t="s">
        <v>41</v>
      </c>
      <c r="AE11" s="23" t="s">
        <v>42</v>
      </c>
      <c r="AF11" s="23" t="s">
        <v>43</v>
      </c>
      <c r="AG11" s="23" t="s">
        <v>44</v>
      </c>
      <c r="AH11" s="23" t="s">
        <v>45</v>
      </c>
      <c r="AI11" s="23" t="s">
        <v>46</v>
      </c>
      <c r="AJ11" s="23" t="s">
        <v>47</v>
      </c>
      <c r="AK11" s="23" t="s">
        <v>48</v>
      </c>
      <c r="AL11" s="23" t="s">
        <v>49</v>
      </c>
      <c r="AM11" s="23" t="s">
        <v>50</v>
      </c>
      <c r="AN11" s="23" t="s">
        <v>51</v>
      </c>
      <c r="AO11" s="23" t="s">
        <v>52</v>
      </c>
      <c r="AP11" s="23" t="s">
        <v>53</v>
      </c>
      <c r="AQ11" s="23" t="s">
        <v>54</v>
      </c>
      <c r="AR11" s="23" t="s">
        <v>55</v>
      </c>
      <c r="AU11" s="54">
        <f t="shared" si="0"/>
        <v>1900</v>
      </c>
      <c r="AV11" s="47">
        <v>7</v>
      </c>
      <c r="AW11" s="47">
        <v>1</v>
      </c>
      <c r="AX11" s="55">
        <f t="shared" si="1"/>
        <v>1</v>
      </c>
    </row>
    <row r="12" spans="1:50" x14ac:dyDescent="0.3">
      <c r="A12" s="53" t="str">
        <f>IF(B12="","",MAX($A$9:A11)+1)</f>
        <v/>
      </c>
      <c r="B12" s="61"/>
      <c r="C12" s="61"/>
      <c r="D12" s="61"/>
      <c r="E12" s="61"/>
      <c r="F12" s="67"/>
      <c r="G12" s="48" t="str">
        <f t="shared" si="2"/>
        <v/>
      </c>
      <c r="H12" s="50" t="str">
        <f>IFERROR(HLOOKUP($I12,Payband,2,0)&amp;"-"&amp;HLOOKUP($I12,Payband,3,0),"")</f>
        <v/>
      </c>
      <c r="I12" s="59"/>
      <c r="J12" s="51" t="str">
        <f>IFERROR(IF(B12="","",HLOOKUP($I12,Payband,2,0)),"")</f>
        <v/>
      </c>
      <c r="K12" s="48" t="str">
        <f t="shared" si="3"/>
        <v/>
      </c>
      <c r="L12" s="248"/>
      <c r="M12" s="249"/>
      <c r="Q12" s="23">
        <v>27</v>
      </c>
      <c r="R12" s="26" t="s">
        <v>63</v>
      </c>
      <c r="T12" s="27">
        <v>1</v>
      </c>
      <c r="U12" s="17">
        <v>17700</v>
      </c>
      <c r="V12" s="17">
        <v>17900</v>
      </c>
      <c r="W12" s="17">
        <v>18200</v>
      </c>
      <c r="X12" s="17">
        <v>19200</v>
      </c>
      <c r="Y12" s="17">
        <v>20800</v>
      </c>
      <c r="Z12" s="17">
        <v>21500</v>
      </c>
      <c r="AA12" s="17">
        <v>22400</v>
      </c>
      <c r="AB12" s="17">
        <v>26300</v>
      </c>
      <c r="AC12" s="17">
        <v>28700</v>
      </c>
      <c r="AD12" s="17">
        <v>33800</v>
      </c>
      <c r="AE12" s="17">
        <v>37800</v>
      </c>
      <c r="AF12" s="17">
        <v>44300</v>
      </c>
      <c r="AG12" s="17">
        <v>53100</v>
      </c>
      <c r="AH12" s="17">
        <v>56100</v>
      </c>
      <c r="AI12" s="17">
        <v>60700</v>
      </c>
      <c r="AJ12" s="17">
        <v>67300</v>
      </c>
      <c r="AK12" s="17">
        <v>71000</v>
      </c>
      <c r="AL12" s="17">
        <v>75300</v>
      </c>
      <c r="AM12" s="17">
        <v>79900</v>
      </c>
      <c r="AN12" s="17">
        <v>88900</v>
      </c>
      <c r="AO12" s="17">
        <v>123100</v>
      </c>
      <c r="AP12" s="17">
        <v>129700</v>
      </c>
      <c r="AQ12" s="17">
        <v>145800</v>
      </c>
      <c r="AR12" s="17">
        <v>148800</v>
      </c>
      <c r="AU12" s="54">
        <f t="shared" si="0"/>
        <v>1900</v>
      </c>
      <c r="AV12" s="47">
        <v>7</v>
      </c>
      <c r="AW12" s="47">
        <v>1</v>
      </c>
      <c r="AX12" s="55">
        <f t="shared" si="1"/>
        <v>1</v>
      </c>
    </row>
    <row r="13" spans="1:50" x14ac:dyDescent="0.3">
      <c r="A13" s="53" t="str">
        <f>IF(B13="","",MAX($A$9:A12)+1)</f>
        <v/>
      </c>
      <c r="B13" s="61"/>
      <c r="C13" s="62"/>
      <c r="D13" s="62"/>
      <c r="E13" s="61"/>
      <c r="F13" s="61"/>
      <c r="G13" s="48" t="str">
        <f t="shared" si="2"/>
        <v/>
      </c>
      <c r="H13" s="50" t="str">
        <f>IFERROR(HLOOKUP($I13,Payband,2,0)&amp;"-"&amp;HLOOKUP($I13,Payband,3,0),"")</f>
        <v/>
      </c>
      <c r="I13" s="59"/>
      <c r="J13" s="51" t="str">
        <f>IFERROR(IF(B13="","",HLOOKUP($I13,Payband,2,0)),"")</f>
        <v/>
      </c>
      <c r="K13" s="48" t="str">
        <f t="shared" si="3"/>
        <v/>
      </c>
      <c r="L13" s="248"/>
      <c r="M13" s="249"/>
      <c r="Q13" s="23">
        <v>30</v>
      </c>
      <c r="R13" s="26" t="s">
        <v>63</v>
      </c>
      <c r="T13" s="27">
        <v>2</v>
      </c>
      <c r="U13" s="17">
        <v>18200</v>
      </c>
      <c r="V13" s="17">
        <v>18400</v>
      </c>
      <c r="W13" s="17">
        <v>18700</v>
      </c>
      <c r="X13" s="17">
        <v>19800</v>
      </c>
      <c r="Y13" s="17">
        <v>21400</v>
      </c>
      <c r="Z13" s="17">
        <v>22100</v>
      </c>
      <c r="AA13" s="17">
        <v>23100</v>
      </c>
      <c r="AB13" s="17">
        <v>27100</v>
      </c>
      <c r="AC13" s="17">
        <v>29600</v>
      </c>
      <c r="AD13" s="17">
        <v>34800</v>
      </c>
      <c r="AE13" s="17">
        <v>38900</v>
      </c>
      <c r="AF13" s="17">
        <v>45600</v>
      </c>
      <c r="AG13" s="17">
        <v>54700</v>
      </c>
      <c r="AH13" s="17">
        <v>57800</v>
      </c>
      <c r="AI13" s="17">
        <v>62500</v>
      </c>
      <c r="AJ13" s="17">
        <v>69300</v>
      </c>
      <c r="AK13" s="17">
        <v>73100</v>
      </c>
      <c r="AL13" s="17">
        <v>77600</v>
      </c>
      <c r="AM13" s="17">
        <v>82300</v>
      </c>
      <c r="AN13" s="17">
        <v>91600</v>
      </c>
      <c r="AO13" s="17">
        <v>126800</v>
      </c>
      <c r="AP13" s="17">
        <v>133600</v>
      </c>
      <c r="AQ13" s="17">
        <v>150200</v>
      </c>
      <c r="AR13" s="17">
        <v>153300</v>
      </c>
      <c r="AU13" s="54">
        <f t="shared" si="0"/>
        <v>1900</v>
      </c>
      <c r="AV13" s="47">
        <v>7</v>
      </c>
      <c r="AW13" s="47">
        <v>1</v>
      </c>
      <c r="AX13" s="55">
        <f t="shared" si="1"/>
        <v>1</v>
      </c>
    </row>
    <row r="14" spans="1:50" x14ac:dyDescent="0.3">
      <c r="A14" s="43"/>
      <c r="B14" s="44"/>
      <c r="C14" s="44"/>
      <c r="D14" s="44"/>
      <c r="E14" s="44"/>
      <c r="F14" s="44"/>
      <c r="G14" s="44"/>
      <c r="H14" s="45"/>
      <c r="I14" s="46"/>
      <c r="J14" s="44"/>
      <c r="K14" s="44"/>
      <c r="T14" s="27">
        <v>3</v>
      </c>
      <c r="U14" s="17">
        <v>18700</v>
      </c>
      <c r="V14" s="17">
        <v>19000</v>
      </c>
      <c r="W14" s="17">
        <v>19300</v>
      </c>
      <c r="X14" s="17">
        <v>20400</v>
      </c>
      <c r="Y14" s="17">
        <f>MROUND(Y13*103%,100)</f>
        <v>22000</v>
      </c>
      <c r="Z14" s="17">
        <f t="shared" ref="Z14:AA14" si="4">MROUND(Z13*103%,100)</f>
        <v>22800</v>
      </c>
      <c r="AA14" s="17">
        <f t="shared" si="4"/>
        <v>23800</v>
      </c>
      <c r="AB14" s="17">
        <f>MROUND(AB13*103%,100)</f>
        <v>27900</v>
      </c>
      <c r="AC14" s="17">
        <f t="shared" ref="AC14:AR14" si="5">MROUND(AC13*103%,100)</f>
        <v>30500</v>
      </c>
      <c r="AD14" s="17">
        <f t="shared" si="5"/>
        <v>35800</v>
      </c>
      <c r="AE14" s="17">
        <f t="shared" si="5"/>
        <v>40100</v>
      </c>
      <c r="AF14" s="17">
        <f t="shared" si="5"/>
        <v>47000</v>
      </c>
      <c r="AG14" s="17">
        <f t="shared" si="5"/>
        <v>56300</v>
      </c>
      <c r="AH14" s="17">
        <f t="shared" si="5"/>
        <v>59500</v>
      </c>
      <c r="AI14" s="17">
        <f t="shared" si="5"/>
        <v>64400</v>
      </c>
      <c r="AJ14" s="17">
        <f t="shared" si="5"/>
        <v>71400</v>
      </c>
      <c r="AK14" s="17">
        <f t="shared" si="5"/>
        <v>75300</v>
      </c>
      <c r="AL14" s="17">
        <f t="shared" si="5"/>
        <v>79900</v>
      </c>
      <c r="AM14" s="17">
        <f t="shared" si="5"/>
        <v>84800</v>
      </c>
      <c r="AN14" s="17">
        <f t="shared" si="5"/>
        <v>94300</v>
      </c>
      <c r="AO14" s="17">
        <f t="shared" si="5"/>
        <v>130600</v>
      </c>
      <c r="AP14" s="17">
        <f t="shared" si="5"/>
        <v>137600</v>
      </c>
      <c r="AQ14" s="17">
        <f t="shared" si="5"/>
        <v>154700</v>
      </c>
      <c r="AR14" s="17">
        <f t="shared" si="5"/>
        <v>157900</v>
      </c>
    </row>
    <row r="15" spans="1:50" x14ac:dyDescent="0.3">
      <c r="H15" s="225" t="str">
        <f>N9</f>
        <v xml:space="preserve">iz/kkukpk;Z </v>
      </c>
      <c r="I15" s="225"/>
      <c r="J15" s="225"/>
      <c r="T15" s="27">
        <v>4</v>
      </c>
      <c r="U15" s="17">
        <v>19300</v>
      </c>
      <c r="V15" s="17">
        <v>19600</v>
      </c>
      <c r="W15" s="17">
        <v>19900</v>
      </c>
      <c r="X15" s="17">
        <v>21000</v>
      </c>
      <c r="Y15" s="17">
        <v>22700</v>
      </c>
      <c r="Z15" s="17">
        <v>23500</v>
      </c>
      <c r="AA15" s="17">
        <v>24500</v>
      </c>
      <c r="AB15" s="17">
        <v>28700</v>
      </c>
      <c r="AC15" s="17">
        <v>31400</v>
      </c>
      <c r="AD15" s="17">
        <v>36900</v>
      </c>
      <c r="AE15" s="17">
        <v>41300</v>
      </c>
      <c r="AF15" s="17">
        <v>48400</v>
      </c>
      <c r="AG15" s="17">
        <v>58000</v>
      </c>
      <c r="AH15" s="17">
        <v>61300</v>
      </c>
      <c r="AI15" s="17">
        <v>66300</v>
      </c>
      <c r="AJ15" s="17">
        <v>73500</v>
      </c>
      <c r="AK15" s="17">
        <v>77600</v>
      </c>
      <c r="AL15" s="17">
        <v>82300</v>
      </c>
      <c r="AM15" s="17">
        <v>87300</v>
      </c>
      <c r="AN15" s="17">
        <v>97100</v>
      </c>
      <c r="AO15" s="17">
        <v>134500</v>
      </c>
      <c r="AP15" s="17">
        <v>141700</v>
      </c>
      <c r="AQ15" s="17">
        <v>159300</v>
      </c>
      <c r="AR15" s="17">
        <v>162600</v>
      </c>
    </row>
    <row r="16" spans="1:50" x14ac:dyDescent="0.3">
      <c r="H16" s="226" t="str">
        <f>N10</f>
        <v xml:space="preserve">jktdh; mPp ek/;fed fo|ky; </v>
      </c>
      <c r="I16" s="226"/>
      <c r="J16" s="226"/>
      <c r="T16" s="27">
        <v>5</v>
      </c>
      <c r="U16" s="17">
        <v>19900</v>
      </c>
      <c r="V16" s="17">
        <v>20200</v>
      </c>
      <c r="W16" s="17">
        <v>20500</v>
      </c>
      <c r="X16" s="17">
        <v>21600</v>
      </c>
      <c r="Y16" s="17">
        <v>23400</v>
      </c>
      <c r="Z16" s="17">
        <v>24200</v>
      </c>
      <c r="AA16" s="17">
        <v>25200</v>
      </c>
      <c r="AB16" s="17">
        <v>29600</v>
      </c>
      <c r="AC16" s="17">
        <v>32300</v>
      </c>
      <c r="AD16" s="17">
        <v>38000</v>
      </c>
      <c r="AE16" s="17">
        <v>42500</v>
      </c>
      <c r="AF16" s="17">
        <v>49900</v>
      </c>
      <c r="AG16" s="17">
        <v>59700</v>
      </c>
      <c r="AH16" s="17">
        <v>63100</v>
      </c>
      <c r="AI16" s="17">
        <v>68300</v>
      </c>
      <c r="AJ16" s="17">
        <v>75700</v>
      </c>
      <c r="AK16" s="17">
        <v>79900</v>
      </c>
      <c r="AL16" s="17">
        <v>84800</v>
      </c>
      <c r="AM16" s="17">
        <v>89900</v>
      </c>
      <c r="AN16" s="17">
        <v>100000</v>
      </c>
      <c r="AO16" s="17">
        <v>138500</v>
      </c>
      <c r="AP16" s="17">
        <v>146000</v>
      </c>
      <c r="AQ16" s="17">
        <v>164100</v>
      </c>
      <c r="AR16" s="17">
        <v>167500</v>
      </c>
    </row>
    <row r="17" spans="1:44" x14ac:dyDescent="0.3">
      <c r="H17" s="225" t="str">
        <f>N11</f>
        <v xml:space="preserve">13Mhvks,y Jhxaxkuxj </v>
      </c>
      <c r="I17" s="225"/>
      <c r="J17" s="225"/>
      <c r="T17" s="27">
        <v>6</v>
      </c>
      <c r="U17" s="17">
        <v>20500</v>
      </c>
      <c r="V17" s="17">
        <v>20800</v>
      </c>
      <c r="W17" s="17">
        <v>21100</v>
      </c>
      <c r="X17" s="17">
        <v>22200</v>
      </c>
      <c r="Y17" s="17">
        <v>24100</v>
      </c>
      <c r="Z17" s="17">
        <v>24900</v>
      </c>
      <c r="AA17" s="17">
        <v>26000</v>
      </c>
      <c r="AB17" s="17">
        <v>30500</v>
      </c>
      <c r="AC17" s="17">
        <v>33300</v>
      </c>
      <c r="AD17" s="17">
        <v>39100</v>
      </c>
      <c r="AE17" s="17">
        <v>43800</v>
      </c>
      <c r="AF17" s="17">
        <v>51400</v>
      </c>
      <c r="AG17" s="17">
        <v>61500</v>
      </c>
      <c r="AH17" s="17">
        <v>65000</v>
      </c>
      <c r="AI17" s="17">
        <v>70300</v>
      </c>
      <c r="AJ17" s="17">
        <v>78000</v>
      </c>
      <c r="AK17" s="17">
        <v>82300</v>
      </c>
      <c r="AL17" s="17">
        <v>87300</v>
      </c>
      <c r="AM17" s="17">
        <v>92600</v>
      </c>
      <c r="AN17" s="17">
        <v>103000</v>
      </c>
      <c r="AO17" s="17">
        <v>142700</v>
      </c>
      <c r="AP17" s="17">
        <v>150400</v>
      </c>
      <c r="AQ17" s="17">
        <v>169000</v>
      </c>
      <c r="AR17" s="17">
        <v>172500</v>
      </c>
    </row>
    <row r="18" spans="1:44" ht="13.05" customHeight="1" x14ac:dyDescent="0.3">
      <c r="A18" s="227" t="s">
        <v>1</v>
      </c>
      <c r="B18" s="227"/>
      <c r="C18" s="29"/>
      <c r="D18" s="29"/>
      <c r="E18" s="29"/>
      <c r="F18" s="29"/>
      <c r="G18" s="29"/>
      <c r="H18" s="42"/>
      <c r="I18" s="30" t="s">
        <v>2</v>
      </c>
      <c r="J18" s="29"/>
      <c r="T18" s="27">
        <v>7</v>
      </c>
      <c r="U18" s="17">
        <v>21100</v>
      </c>
      <c r="V18" s="17">
        <v>21400</v>
      </c>
      <c r="W18" s="17">
        <v>21700</v>
      </c>
      <c r="X18" s="17">
        <v>22900</v>
      </c>
      <c r="Y18" s="17">
        <v>24800</v>
      </c>
      <c r="Z18" s="17">
        <v>25600</v>
      </c>
      <c r="AA18" s="17">
        <v>26800</v>
      </c>
      <c r="AB18" s="17">
        <v>31400</v>
      </c>
      <c r="AC18" s="17">
        <v>34300</v>
      </c>
      <c r="AD18" s="17">
        <v>40300</v>
      </c>
      <c r="AE18" s="17">
        <v>45100</v>
      </c>
      <c r="AF18" s="17">
        <v>52900</v>
      </c>
      <c r="AG18" s="17">
        <v>63300</v>
      </c>
      <c r="AH18" s="17">
        <v>67000</v>
      </c>
      <c r="AI18" s="17">
        <v>72400</v>
      </c>
      <c r="AJ18" s="17">
        <v>80300</v>
      </c>
      <c r="AK18" s="17">
        <v>84800</v>
      </c>
      <c r="AL18" s="17">
        <v>89900</v>
      </c>
      <c r="AM18" s="17">
        <v>95400</v>
      </c>
      <c r="AN18" s="17">
        <v>106100</v>
      </c>
      <c r="AO18" s="17">
        <v>147000</v>
      </c>
      <c r="AP18" s="17">
        <v>154900</v>
      </c>
      <c r="AQ18" s="17">
        <v>174100</v>
      </c>
      <c r="AR18" s="17">
        <v>177700</v>
      </c>
    </row>
    <row r="19" spans="1:44" ht="15.6" x14ac:dyDescent="0.3">
      <c r="A19" s="31" t="s">
        <v>3</v>
      </c>
      <c r="B19" s="29"/>
      <c r="C19" s="29"/>
      <c r="D19" s="29"/>
      <c r="E19" s="29"/>
      <c r="F19" s="29"/>
      <c r="G19" s="29"/>
      <c r="H19" s="42"/>
      <c r="I19" s="29"/>
      <c r="J19" s="29"/>
      <c r="T19" s="27">
        <v>8</v>
      </c>
      <c r="U19" s="17">
        <v>21700</v>
      </c>
      <c r="V19" s="17">
        <v>22000</v>
      </c>
      <c r="W19" s="17">
        <v>22400</v>
      </c>
      <c r="X19" s="17">
        <v>23600</v>
      </c>
      <c r="Y19" s="17">
        <v>25500</v>
      </c>
      <c r="Z19" s="17">
        <v>26400</v>
      </c>
      <c r="AA19" s="17">
        <v>27600</v>
      </c>
      <c r="AB19" s="17">
        <v>32300</v>
      </c>
      <c r="AC19" s="17">
        <v>35300</v>
      </c>
      <c r="AD19" s="17">
        <v>41500</v>
      </c>
      <c r="AE19" s="17">
        <v>46500</v>
      </c>
      <c r="AF19" s="17">
        <v>54500</v>
      </c>
      <c r="AG19" s="17">
        <v>65200</v>
      </c>
      <c r="AH19" s="17">
        <v>69000</v>
      </c>
      <c r="AI19" s="17">
        <v>74600</v>
      </c>
      <c r="AJ19" s="17">
        <v>82700</v>
      </c>
      <c r="AK19" s="17">
        <v>87300</v>
      </c>
      <c r="AL19" s="17">
        <v>92600</v>
      </c>
      <c r="AM19" s="17">
        <v>98300</v>
      </c>
      <c r="AN19" s="17">
        <v>109300</v>
      </c>
      <c r="AO19" s="17">
        <v>151400</v>
      </c>
      <c r="AP19" s="17">
        <v>159500</v>
      </c>
      <c r="AQ19" s="17">
        <v>179300</v>
      </c>
      <c r="AR19" s="17">
        <v>183000</v>
      </c>
    </row>
    <row r="20" spans="1:44" ht="15.6" x14ac:dyDescent="0.3">
      <c r="A20" s="69" t="s">
        <v>100</v>
      </c>
      <c r="B20" s="35"/>
      <c r="C20" s="29"/>
      <c r="T20" s="27">
        <v>9</v>
      </c>
      <c r="U20" s="17">
        <v>22400</v>
      </c>
      <c r="V20" s="17">
        <v>22700</v>
      </c>
      <c r="W20" s="17">
        <v>23100</v>
      </c>
      <c r="X20" s="17">
        <v>24300</v>
      </c>
      <c r="Y20" s="17">
        <v>26300</v>
      </c>
      <c r="Z20" s="17">
        <v>27200</v>
      </c>
      <c r="AA20" s="17">
        <v>28400</v>
      </c>
      <c r="AB20" s="17">
        <v>33300</v>
      </c>
      <c r="AC20" s="17">
        <v>36400</v>
      </c>
      <c r="AD20" s="17">
        <v>42700</v>
      </c>
      <c r="AE20" s="17">
        <v>47900</v>
      </c>
      <c r="AF20" s="17">
        <v>56100</v>
      </c>
      <c r="AG20" s="17">
        <v>67200</v>
      </c>
      <c r="AH20" s="17">
        <v>71100</v>
      </c>
      <c r="AI20" s="17">
        <v>76800</v>
      </c>
      <c r="AJ20" s="17">
        <v>85200</v>
      </c>
      <c r="AK20" s="17">
        <v>89900</v>
      </c>
      <c r="AL20" s="17">
        <v>95400</v>
      </c>
      <c r="AM20" s="17">
        <v>101200</v>
      </c>
      <c r="AN20" s="17">
        <v>112600</v>
      </c>
      <c r="AO20" s="17">
        <v>155900</v>
      </c>
      <c r="AP20" s="17">
        <v>164300</v>
      </c>
      <c r="AQ20" s="17">
        <v>184700</v>
      </c>
      <c r="AR20" s="17">
        <v>188500</v>
      </c>
    </row>
    <row r="21" spans="1:44" ht="15.6" x14ac:dyDescent="0.3">
      <c r="A21" s="69" t="s">
        <v>57</v>
      </c>
      <c r="B21" s="35"/>
      <c r="C21" s="29"/>
      <c r="T21" s="27">
        <v>10</v>
      </c>
      <c r="U21" s="17">
        <v>23100</v>
      </c>
      <c r="V21" s="17">
        <v>23400</v>
      </c>
      <c r="W21" s="17">
        <v>23800</v>
      </c>
      <c r="X21" s="17">
        <v>25000</v>
      </c>
      <c r="Y21" s="17">
        <v>27100</v>
      </c>
      <c r="Z21" s="17">
        <v>28000</v>
      </c>
      <c r="AA21" s="17">
        <v>29300</v>
      </c>
      <c r="AB21" s="17">
        <v>34300</v>
      </c>
      <c r="AC21" s="17">
        <v>37500</v>
      </c>
      <c r="AD21" s="17">
        <v>44000</v>
      </c>
      <c r="AE21" s="17">
        <v>49300</v>
      </c>
      <c r="AF21" s="17">
        <v>57800</v>
      </c>
      <c r="AG21" s="17">
        <v>69200</v>
      </c>
      <c r="AH21" s="17">
        <v>73200</v>
      </c>
      <c r="AI21" s="17">
        <v>79100</v>
      </c>
      <c r="AJ21" s="17">
        <v>87800</v>
      </c>
      <c r="AK21" s="17">
        <v>92600</v>
      </c>
      <c r="AL21" s="17">
        <v>98300</v>
      </c>
      <c r="AM21" s="17">
        <v>104200</v>
      </c>
      <c r="AN21" s="17">
        <v>116000</v>
      </c>
      <c r="AO21" s="17">
        <v>160600</v>
      </c>
      <c r="AP21" s="17">
        <v>169200</v>
      </c>
      <c r="AQ21" s="17">
        <v>190200</v>
      </c>
      <c r="AR21" s="17">
        <v>194200</v>
      </c>
    </row>
    <row r="22" spans="1:44" ht="15.6" x14ac:dyDescent="0.3">
      <c r="A22" s="69" t="s">
        <v>58</v>
      </c>
      <c r="B22" s="35"/>
      <c r="C22" s="29"/>
      <c r="T22" s="27">
        <v>11</v>
      </c>
      <c r="U22" s="17">
        <v>23800</v>
      </c>
      <c r="V22" s="17">
        <v>24100</v>
      </c>
      <c r="W22" s="17">
        <v>24500</v>
      </c>
      <c r="X22" s="17">
        <v>25800</v>
      </c>
      <c r="Y22" s="17">
        <v>27900</v>
      </c>
      <c r="Z22" s="17">
        <v>28800</v>
      </c>
      <c r="AA22" s="17">
        <v>30200</v>
      </c>
      <c r="AB22" s="17">
        <v>35300</v>
      </c>
      <c r="AC22" s="17">
        <v>38600</v>
      </c>
      <c r="AD22" s="17">
        <v>45300</v>
      </c>
      <c r="AE22" s="17">
        <v>50800</v>
      </c>
      <c r="AF22" s="17">
        <v>59500</v>
      </c>
      <c r="AG22" s="17">
        <v>71300</v>
      </c>
      <c r="AH22" s="17">
        <v>75400</v>
      </c>
      <c r="AI22" s="17">
        <v>81500</v>
      </c>
      <c r="AJ22" s="17">
        <v>90400</v>
      </c>
      <c r="AK22" s="17">
        <v>95400</v>
      </c>
      <c r="AL22" s="17">
        <v>101200</v>
      </c>
      <c r="AM22" s="17">
        <v>107300</v>
      </c>
      <c r="AN22" s="17">
        <v>119500</v>
      </c>
      <c r="AO22" s="17">
        <v>165400</v>
      </c>
      <c r="AP22" s="17">
        <v>174300</v>
      </c>
      <c r="AQ22" s="17">
        <v>195900</v>
      </c>
      <c r="AR22" s="17">
        <v>200000</v>
      </c>
    </row>
    <row r="23" spans="1:44" ht="15.6" x14ac:dyDescent="0.3">
      <c r="A23" s="69" t="s">
        <v>59</v>
      </c>
      <c r="B23" s="35"/>
      <c r="C23" s="29"/>
      <c r="T23" s="27">
        <v>12</v>
      </c>
      <c r="U23" s="17">
        <v>24500</v>
      </c>
      <c r="V23" s="17">
        <v>24800</v>
      </c>
      <c r="W23" s="17">
        <v>25200</v>
      </c>
      <c r="X23" s="17">
        <v>26600</v>
      </c>
      <c r="Y23" s="17">
        <v>28700</v>
      </c>
      <c r="Z23" s="17">
        <v>29700</v>
      </c>
      <c r="AA23" s="17">
        <v>31100</v>
      </c>
      <c r="AB23" s="17">
        <v>36400</v>
      </c>
      <c r="AC23" s="17">
        <v>39800</v>
      </c>
      <c r="AD23" s="17">
        <v>46700</v>
      </c>
      <c r="AE23" s="17">
        <v>52300</v>
      </c>
      <c r="AF23" s="17">
        <v>61300</v>
      </c>
      <c r="AG23" s="17">
        <v>73400</v>
      </c>
      <c r="AH23" s="17">
        <v>77700</v>
      </c>
      <c r="AI23" s="17">
        <v>83900</v>
      </c>
      <c r="AJ23" s="17">
        <v>93100</v>
      </c>
      <c r="AK23" s="17">
        <v>98300</v>
      </c>
      <c r="AL23" s="17">
        <v>104200</v>
      </c>
      <c r="AM23" s="17">
        <v>110500</v>
      </c>
      <c r="AN23" s="17">
        <v>123100</v>
      </c>
      <c r="AO23" s="17">
        <v>170400</v>
      </c>
      <c r="AP23" s="17">
        <v>179500</v>
      </c>
      <c r="AQ23" s="17">
        <v>201800</v>
      </c>
      <c r="AR23" s="17">
        <v>206000</v>
      </c>
    </row>
    <row r="24" spans="1:44" ht="15.6" x14ac:dyDescent="0.3">
      <c r="A24" s="69" t="s">
        <v>60</v>
      </c>
      <c r="B24" s="35"/>
      <c r="C24" s="29"/>
      <c r="T24" s="27">
        <v>13</v>
      </c>
      <c r="U24" s="17">
        <v>25200</v>
      </c>
      <c r="V24" s="17">
        <v>25500</v>
      </c>
      <c r="W24" s="17">
        <v>26000</v>
      </c>
      <c r="X24" s="17">
        <v>27400</v>
      </c>
      <c r="Y24" s="17">
        <v>29600</v>
      </c>
      <c r="Z24" s="17">
        <v>30600</v>
      </c>
      <c r="AA24" s="17">
        <v>32000</v>
      </c>
      <c r="AB24" s="17">
        <v>37500</v>
      </c>
      <c r="AC24" s="17">
        <v>41000</v>
      </c>
      <c r="AD24" s="17">
        <v>48100</v>
      </c>
      <c r="AE24" s="17">
        <v>53900</v>
      </c>
      <c r="AF24" s="17">
        <v>63100</v>
      </c>
      <c r="AG24" s="17">
        <v>75600</v>
      </c>
      <c r="AH24" s="17">
        <v>80000</v>
      </c>
      <c r="AI24" s="17">
        <v>86400</v>
      </c>
      <c r="AJ24" s="17">
        <v>95900</v>
      </c>
      <c r="AK24" s="17">
        <v>101200</v>
      </c>
      <c r="AL24" s="17">
        <v>107300</v>
      </c>
      <c r="AM24" s="17">
        <v>113800</v>
      </c>
      <c r="AN24" s="17">
        <v>126800</v>
      </c>
      <c r="AO24" s="17">
        <v>175500</v>
      </c>
      <c r="AP24" s="17">
        <v>184900</v>
      </c>
      <c r="AQ24" s="17">
        <v>207900</v>
      </c>
      <c r="AR24" s="17">
        <v>212200</v>
      </c>
    </row>
    <row r="25" spans="1:44" ht="15.6" x14ac:dyDescent="0.3">
      <c r="A25" s="69" t="s">
        <v>67</v>
      </c>
      <c r="B25" s="35"/>
      <c r="C25" s="29"/>
      <c r="H25" s="244" t="str">
        <f>N9</f>
        <v xml:space="preserve">iz/kkukpk;Z </v>
      </c>
      <c r="I25" s="244"/>
      <c r="J25" s="244"/>
      <c r="T25" s="27">
        <v>14</v>
      </c>
      <c r="U25" s="17">
        <v>26000</v>
      </c>
      <c r="V25" s="17">
        <v>26300</v>
      </c>
      <c r="W25" s="17">
        <v>26800</v>
      </c>
      <c r="X25" s="17">
        <v>28200</v>
      </c>
      <c r="Y25" s="17">
        <v>30500</v>
      </c>
      <c r="Z25" s="17">
        <v>31500</v>
      </c>
      <c r="AA25" s="17">
        <v>33000</v>
      </c>
      <c r="AB25" s="17">
        <v>38600</v>
      </c>
      <c r="AC25" s="17">
        <v>42200</v>
      </c>
      <c r="AD25" s="17">
        <v>49500</v>
      </c>
      <c r="AE25" s="17">
        <v>55500</v>
      </c>
      <c r="AF25" s="17">
        <v>65000</v>
      </c>
      <c r="AG25" s="17">
        <v>77900</v>
      </c>
      <c r="AH25" s="17">
        <v>82400</v>
      </c>
      <c r="AI25" s="17">
        <v>89000</v>
      </c>
      <c r="AJ25" s="17">
        <v>98800</v>
      </c>
      <c r="AK25" s="17">
        <v>104200</v>
      </c>
      <c r="AL25" s="17">
        <v>110500</v>
      </c>
      <c r="AM25" s="17">
        <v>117200</v>
      </c>
      <c r="AN25" s="17">
        <v>130600</v>
      </c>
      <c r="AO25" s="17">
        <v>180800</v>
      </c>
      <c r="AP25" s="17">
        <v>190400</v>
      </c>
      <c r="AQ25" s="17">
        <v>214100</v>
      </c>
      <c r="AR25" s="17">
        <v>218600</v>
      </c>
    </row>
    <row r="26" spans="1:44" x14ac:dyDescent="0.3">
      <c r="A26" s="1"/>
      <c r="B26" s="1"/>
      <c r="H26" s="245" t="str">
        <f>N10</f>
        <v xml:space="preserve">jktdh; mPp ek/;fed fo|ky; </v>
      </c>
      <c r="I26" s="245"/>
      <c r="J26" s="245"/>
      <c r="T26" s="27">
        <v>15</v>
      </c>
      <c r="U26" s="17">
        <v>26800</v>
      </c>
      <c r="V26" s="17">
        <v>27100</v>
      </c>
      <c r="W26" s="17">
        <v>27600</v>
      </c>
      <c r="X26" s="17">
        <v>29000</v>
      </c>
      <c r="Y26" s="17">
        <v>31400</v>
      </c>
      <c r="Z26" s="17">
        <v>32400</v>
      </c>
      <c r="AA26" s="17">
        <v>34000</v>
      </c>
      <c r="AB26" s="17">
        <v>39800</v>
      </c>
      <c r="AC26" s="17">
        <v>43500</v>
      </c>
      <c r="AD26" s="17">
        <v>51000</v>
      </c>
      <c r="AE26" s="17">
        <v>57200</v>
      </c>
      <c r="AF26" s="17">
        <v>67000</v>
      </c>
      <c r="AG26" s="17">
        <v>80200</v>
      </c>
      <c r="AH26" s="17">
        <v>84900</v>
      </c>
      <c r="AI26" s="17">
        <v>91700</v>
      </c>
      <c r="AJ26" s="17">
        <v>101800</v>
      </c>
      <c r="AK26" s="17">
        <v>107300</v>
      </c>
      <c r="AL26" s="17">
        <v>113800</v>
      </c>
      <c r="AM26" s="17">
        <v>120700</v>
      </c>
      <c r="AN26" s="17">
        <v>134500</v>
      </c>
      <c r="AO26" s="17">
        <v>186200</v>
      </c>
      <c r="AP26" s="17">
        <v>196100</v>
      </c>
      <c r="AQ26" s="19"/>
      <c r="AR26" s="19"/>
    </row>
    <row r="27" spans="1:44" x14ac:dyDescent="0.3">
      <c r="A27" s="1"/>
      <c r="B27" s="1"/>
      <c r="H27" s="244" t="str">
        <f>N11</f>
        <v xml:space="preserve">13Mhvks,y Jhxaxkuxj </v>
      </c>
      <c r="I27" s="244"/>
      <c r="J27" s="244"/>
      <c r="T27" s="27">
        <v>16</v>
      </c>
      <c r="U27" s="17">
        <v>27600</v>
      </c>
      <c r="V27" s="17">
        <v>27900</v>
      </c>
      <c r="W27" s="17">
        <v>28400</v>
      </c>
      <c r="X27" s="17">
        <v>29900</v>
      </c>
      <c r="Y27" s="17">
        <v>32300</v>
      </c>
      <c r="Z27" s="17">
        <v>33400</v>
      </c>
      <c r="AA27" s="17">
        <v>35000</v>
      </c>
      <c r="AB27" s="17">
        <v>41000</v>
      </c>
      <c r="AC27" s="17">
        <v>44800</v>
      </c>
      <c r="AD27" s="17">
        <v>52500</v>
      </c>
      <c r="AE27" s="17">
        <v>58900</v>
      </c>
      <c r="AF27" s="17">
        <v>69000</v>
      </c>
      <c r="AG27" s="17">
        <v>82600</v>
      </c>
      <c r="AH27" s="17">
        <v>87400</v>
      </c>
      <c r="AI27" s="17">
        <v>94500</v>
      </c>
      <c r="AJ27" s="17">
        <v>104900</v>
      </c>
      <c r="AK27" s="17">
        <v>110500</v>
      </c>
      <c r="AL27" s="17">
        <v>117200</v>
      </c>
      <c r="AM27" s="17">
        <v>124300</v>
      </c>
      <c r="AN27" s="17">
        <v>138500</v>
      </c>
      <c r="AO27" s="17">
        <v>191800</v>
      </c>
      <c r="AP27" s="17">
        <v>202000</v>
      </c>
      <c r="AQ27" s="19"/>
      <c r="AR27" s="19"/>
    </row>
    <row r="28" spans="1:44" ht="25.05" customHeight="1" x14ac:dyDescent="0.3">
      <c r="A28" s="242" t="s">
        <v>68</v>
      </c>
      <c r="B28" s="242"/>
      <c r="C28" s="242"/>
      <c r="D28" s="242"/>
      <c r="E28" s="242"/>
      <c r="F28" s="242"/>
      <c r="G28" s="242"/>
      <c r="H28" s="242"/>
      <c r="I28" s="242"/>
      <c r="J28" s="242"/>
      <c r="K28" s="242"/>
      <c r="Q28" s="21"/>
      <c r="T28" s="27">
        <v>17</v>
      </c>
      <c r="U28" s="17">
        <v>28400</v>
      </c>
      <c r="V28" s="17">
        <v>28700</v>
      </c>
      <c r="W28" s="17">
        <v>29300</v>
      </c>
      <c r="X28" s="17">
        <v>30800</v>
      </c>
      <c r="Y28" s="17">
        <v>33300</v>
      </c>
      <c r="Z28" s="17">
        <v>34400</v>
      </c>
      <c r="AA28" s="17">
        <v>36100</v>
      </c>
      <c r="AB28" s="17">
        <v>42200</v>
      </c>
      <c r="AC28" s="17">
        <v>46100</v>
      </c>
      <c r="AD28" s="17">
        <v>54100</v>
      </c>
      <c r="AE28" s="17">
        <v>60700</v>
      </c>
      <c r="AF28" s="17">
        <v>71100</v>
      </c>
      <c r="AG28" s="17">
        <v>85100</v>
      </c>
      <c r="AH28" s="17">
        <v>90000</v>
      </c>
      <c r="AI28" s="17">
        <v>97300</v>
      </c>
      <c r="AJ28" s="17">
        <v>108000</v>
      </c>
      <c r="AK28" s="17">
        <v>113800</v>
      </c>
      <c r="AL28" s="17">
        <v>120700</v>
      </c>
      <c r="AM28" s="17">
        <v>128000</v>
      </c>
      <c r="AN28" s="17">
        <v>142700</v>
      </c>
      <c r="AO28" s="17">
        <v>197600</v>
      </c>
      <c r="AP28" s="17">
        <v>208100</v>
      </c>
      <c r="AQ28" s="19"/>
      <c r="AR28" s="19"/>
    </row>
    <row r="29" spans="1:44" ht="19.8" x14ac:dyDescent="0.5">
      <c r="A29" s="32"/>
      <c r="B29" s="32"/>
      <c r="C29" s="32"/>
      <c r="D29" s="32"/>
      <c r="E29" s="32"/>
      <c r="F29" s="32"/>
      <c r="G29" s="33"/>
      <c r="H29" s="243" t="s">
        <v>69</v>
      </c>
      <c r="I29" s="243"/>
      <c r="J29" s="33"/>
      <c r="K29" s="33"/>
      <c r="Q29" s="34"/>
      <c r="T29" s="27">
        <v>18</v>
      </c>
      <c r="U29" s="17">
        <v>29300</v>
      </c>
      <c r="V29" s="17">
        <v>29600</v>
      </c>
      <c r="W29" s="17">
        <v>30200</v>
      </c>
      <c r="X29" s="17">
        <v>31700</v>
      </c>
      <c r="Y29" s="17">
        <v>34300</v>
      </c>
      <c r="Z29" s="17">
        <v>35400</v>
      </c>
      <c r="AA29" s="17">
        <v>37200</v>
      </c>
      <c r="AB29" s="17">
        <v>43500</v>
      </c>
      <c r="AC29" s="17">
        <v>47500</v>
      </c>
      <c r="AD29" s="17">
        <v>55700</v>
      </c>
      <c r="AE29" s="17">
        <v>62500</v>
      </c>
      <c r="AF29" s="17">
        <v>73200</v>
      </c>
      <c r="AG29" s="17">
        <v>87700</v>
      </c>
      <c r="AH29" s="17">
        <v>92700</v>
      </c>
      <c r="AI29" s="17">
        <v>100200</v>
      </c>
      <c r="AJ29" s="17">
        <v>111200</v>
      </c>
      <c r="AK29" s="17">
        <v>117200</v>
      </c>
      <c r="AL29" s="17">
        <v>124300</v>
      </c>
      <c r="AM29" s="17">
        <v>131800</v>
      </c>
      <c r="AN29" s="17">
        <v>147000</v>
      </c>
      <c r="AO29" s="17">
        <v>203500</v>
      </c>
      <c r="AP29" s="19"/>
      <c r="AQ29" s="19"/>
      <c r="AR29" s="19"/>
    </row>
    <row r="30" spans="1:44" x14ac:dyDescent="0.3">
      <c r="A30" s="32"/>
      <c r="B30" s="240" t="s">
        <v>65</v>
      </c>
      <c r="C30" s="240"/>
      <c r="D30" s="240"/>
      <c r="E30" s="240"/>
      <c r="F30" s="240"/>
      <c r="G30" s="33"/>
      <c r="H30" s="36"/>
      <c r="I30" s="33"/>
      <c r="J30" s="33"/>
      <c r="K30" s="33"/>
      <c r="Q30" s="34"/>
      <c r="T30" s="27">
        <v>19</v>
      </c>
      <c r="U30" s="17">
        <v>30200</v>
      </c>
      <c r="V30" s="17">
        <v>30500</v>
      </c>
      <c r="W30" s="17">
        <v>31100</v>
      </c>
      <c r="X30" s="17">
        <v>32700</v>
      </c>
      <c r="Y30" s="17">
        <v>35300</v>
      </c>
      <c r="Z30" s="17">
        <v>36500</v>
      </c>
      <c r="AA30" s="17">
        <v>38300</v>
      </c>
      <c r="AB30" s="17">
        <v>44800</v>
      </c>
      <c r="AC30" s="17">
        <v>48900</v>
      </c>
      <c r="AD30" s="17">
        <v>57400</v>
      </c>
      <c r="AE30" s="17">
        <v>64400</v>
      </c>
      <c r="AF30" s="17">
        <v>75400</v>
      </c>
      <c r="AG30" s="17">
        <v>90300</v>
      </c>
      <c r="AH30" s="17">
        <v>95500</v>
      </c>
      <c r="AI30" s="17">
        <v>103200</v>
      </c>
      <c r="AJ30" s="17">
        <v>114500</v>
      </c>
      <c r="AK30" s="17">
        <v>120700</v>
      </c>
      <c r="AL30" s="17">
        <v>128000</v>
      </c>
      <c r="AM30" s="17">
        <v>135800</v>
      </c>
      <c r="AN30" s="17">
        <v>151400</v>
      </c>
      <c r="AO30" s="19"/>
      <c r="AP30" s="19"/>
      <c r="AQ30" s="19"/>
      <c r="AR30" s="19"/>
    </row>
    <row r="31" spans="1:44" x14ac:dyDescent="0.3">
      <c r="A31" s="32"/>
      <c r="B31" s="241"/>
      <c r="C31" s="241"/>
      <c r="D31" s="33"/>
      <c r="E31" s="241"/>
      <c r="F31" s="241"/>
      <c r="G31" s="33"/>
      <c r="H31" s="36"/>
      <c r="I31" s="33"/>
      <c r="J31" s="33"/>
      <c r="K31" s="33"/>
      <c r="Q31" s="34"/>
      <c r="T31" s="27">
        <v>20</v>
      </c>
      <c r="U31" s="17">
        <v>31100</v>
      </c>
      <c r="V31" s="17">
        <v>31400</v>
      </c>
      <c r="W31" s="17">
        <v>32000</v>
      </c>
      <c r="X31" s="17">
        <v>33700</v>
      </c>
      <c r="Y31" s="17">
        <v>36400</v>
      </c>
      <c r="Z31" s="17">
        <v>37600</v>
      </c>
      <c r="AA31" s="17">
        <v>39400</v>
      </c>
      <c r="AB31" s="17">
        <v>46100</v>
      </c>
      <c r="AC31" s="17">
        <v>50400</v>
      </c>
      <c r="AD31" s="17">
        <v>59100</v>
      </c>
      <c r="AE31" s="17">
        <v>66300</v>
      </c>
      <c r="AF31" s="17">
        <v>77700</v>
      </c>
      <c r="AG31" s="17">
        <v>93000</v>
      </c>
      <c r="AH31" s="17">
        <v>98400</v>
      </c>
      <c r="AI31" s="17">
        <v>106300</v>
      </c>
      <c r="AJ31" s="17">
        <v>117900</v>
      </c>
      <c r="AK31" s="17">
        <v>124300</v>
      </c>
      <c r="AL31" s="17">
        <v>131800</v>
      </c>
      <c r="AM31" s="17">
        <v>139900</v>
      </c>
      <c r="AN31" s="17">
        <v>155900</v>
      </c>
      <c r="AO31" s="19"/>
      <c r="AP31" s="19"/>
      <c r="AQ31" s="19"/>
      <c r="AR31" s="19"/>
    </row>
    <row r="32" spans="1:44" x14ac:dyDescent="0.3">
      <c r="A32" s="32"/>
      <c r="B32" s="241"/>
      <c r="C32" s="241"/>
      <c r="D32" s="33"/>
      <c r="E32" s="241"/>
      <c r="F32" s="241"/>
      <c r="G32" s="33"/>
      <c r="H32" s="36"/>
      <c r="I32" s="33"/>
      <c r="J32" s="33"/>
      <c r="K32" s="33"/>
      <c r="Q32" s="34"/>
      <c r="T32" s="27">
        <v>21</v>
      </c>
      <c r="U32" s="17">
        <v>32000</v>
      </c>
      <c r="V32" s="17">
        <v>32300</v>
      </c>
      <c r="W32" s="17">
        <v>33000</v>
      </c>
      <c r="X32" s="17">
        <v>34700</v>
      </c>
      <c r="Y32" s="17">
        <v>37500</v>
      </c>
      <c r="Z32" s="17">
        <v>38700</v>
      </c>
      <c r="AA32" s="17">
        <v>40600</v>
      </c>
      <c r="AB32" s="17">
        <v>47500</v>
      </c>
      <c r="AC32" s="17">
        <v>51900</v>
      </c>
      <c r="AD32" s="17">
        <v>60900</v>
      </c>
      <c r="AE32" s="17">
        <v>68300</v>
      </c>
      <c r="AF32" s="17">
        <v>80000</v>
      </c>
      <c r="AG32" s="17">
        <v>95800</v>
      </c>
      <c r="AH32" s="17">
        <v>101400</v>
      </c>
      <c r="AI32" s="17">
        <v>109500</v>
      </c>
      <c r="AJ32" s="17">
        <v>121400</v>
      </c>
      <c r="AK32" s="17">
        <v>128000</v>
      </c>
      <c r="AL32" s="17">
        <v>135800</v>
      </c>
      <c r="AM32" s="17">
        <v>144100</v>
      </c>
      <c r="AN32" s="17">
        <v>160600</v>
      </c>
      <c r="AO32" s="19"/>
      <c r="AP32" s="19"/>
      <c r="AQ32" s="19"/>
      <c r="AR32" s="19"/>
    </row>
    <row r="33" spans="1:44" x14ac:dyDescent="0.3">
      <c r="A33" s="32"/>
      <c r="B33" s="241"/>
      <c r="C33" s="241"/>
      <c r="D33" s="33"/>
      <c r="E33" s="241"/>
      <c r="F33" s="241"/>
      <c r="G33" s="33"/>
      <c r="H33" s="36"/>
      <c r="I33" s="33"/>
      <c r="J33" s="33"/>
      <c r="K33" s="33"/>
      <c r="Q33" s="34"/>
      <c r="T33" s="27">
        <v>22</v>
      </c>
      <c r="U33" s="17">
        <v>33000</v>
      </c>
      <c r="V33" s="17">
        <v>33300</v>
      </c>
      <c r="W33" s="17">
        <v>34000</v>
      </c>
      <c r="X33" s="17">
        <v>35700</v>
      </c>
      <c r="Y33" s="17">
        <v>38600</v>
      </c>
      <c r="Z33" s="17">
        <v>39900</v>
      </c>
      <c r="AA33" s="17">
        <v>41800</v>
      </c>
      <c r="AB33" s="17">
        <v>48900</v>
      </c>
      <c r="AC33" s="17">
        <v>53500</v>
      </c>
      <c r="AD33" s="17">
        <v>62700</v>
      </c>
      <c r="AE33" s="17">
        <v>70300</v>
      </c>
      <c r="AF33" s="17">
        <v>82400</v>
      </c>
      <c r="AG33" s="17">
        <v>98700</v>
      </c>
      <c r="AH33" s="17">
        <v>104400</v>
      </c>
      <c r="AI33" s="17">
        <v>112800</v>
      </c>
      <c r="AJ33" s="17">
        <v>125000</v>
      </c>
      <c r="AK33" s="17">
        <v>131800</v>
      </c>
      <c r="AL33" s="17">
        <v>139900</v>
      </c>
      <c r="AM33" s="17">
        <v>148400</v>
      </c>
      <c r="AN33" s="17">
        <v>165400</v>
      </c>
      <c r="AO33" s="19"/>
      <c r="AP33" s="19"/>
      <c r="AQ33" s="19"/>
      <c r="AR33" s="19"/>
    </row>
    <row r="34" spans="1:44" x14ac:dyDescent="0.3">
      <c r="A34" s="32"/>
      <c r="B34" s="241"/>
      <c r="C34" s="241"/>
      <c r="D34" s="33"/>
      <c r="E34" s="241"/>
      <c r="F34" s="241"/>
      <c r="G34" s="33"/>
      <c r="H34" s="36"/>
      <c r="I34" s="33"/>
      <c r="J34" s="33"/>
      <c r="K34" s="33"/>
      <c r="Q34" s="34"/>
      <c r="T34" s="27">
        <v>23</v>
      </c>
      <c r="U34" s="17">
        <v>34000</v>
      </c>
      <c r="V34" s="17">
        <v>34300</v>
      </c>
      <c r="W34" s="17">
        <v>35000</v>
      </c>
      <c r="X34" s="17">
        <v>36800</v>
      </c>
      <c r="Y34" s="17">
        <v>39800</v>
      </c>
      <c r="Z34" s="17">
        <v>41100</v>
      </c>
      <c r="AA34" s="17">
        <v>43100</v>
      </c>
      <c r="AB34" s="17">
        <v>50400</v>
      </c>
      <c r="AC34" s="17">
        <v>55100</v>
      </c>
      <c r="AD34" s="17">
        <v>64600</v>
      </c>
      <c r="AE34" s="17">
        <v>72400</v>
      </c>
      <c r="AF34" s="17">
        <v>84900</v>
      </c>
      <c r="AG34" s="17">
        <v>101700</v>
      </c>
      <c r="AH34" s="17">
        <v>107500</v>
      </c>
      <c r="AI34" s="17">
        <v>116200</v>
      </c>
      <c r="AJ34" s="17">
        <v>128800</v>
      </c>
      <c r="AK34" s="17">
        <v>135800</v>
      </c>
      <c r="AL34" s="17">
        <v>144100</v>
      </c>
      <c r="AM34" s="17">
        <v>152900</v>
      </c>
      <c r="AN34" s="17">
        <v>170400</v>
      </c>
      <c r="AO34" s="19"/>
      <c r="AP34" s="19"/>
      <c r="AQ34" s="19"/>
      <c r="AR34" s="19"/>
    </row>
    <row r="35" spans="1:44" x14ac:dyDescent="0.3">
      <c r="A35" s="32"/>
      <c r="B35" s="241"/>
      <c r="C35" s="241"/>
      <c r="D35" s="240" t="s">
        <v>66</v>
      </c>
      <c r="E35" s="240"/>
      <c r="F35" s="240"/>
      <c r="G35" s="33"/>
      <c r="H35" s="36"/>
      <c r="I35" s="33"/>
      <c r="J35" s="33"/>
      <c r="K35" s="33"/>
      <c r="Q35" s="34"/>
      <c r="T35" s="27">
        <v>24</v>
      </c>
      <c r="U35" s="17">
        <v>35000</v>
      </c>
      <c r="V35" s="17">
        <v>35300</v>
      </c>
      <c r="W35" s="17">
        <v>36100</v>
      </c>
      <c r="X35" s="17">
        <v>37900</v>
      </c>
      <c r="Y35" s="17">
        <v>41000</v>
      </c>
      <c r="Z35" s="17">
        <v>42300</v>
      </c>
      <c r="AA35" s="17">
        <v>44400</v>
      </c>
      <c r="AB35" s="17">
        <v>51900</v>
      </c>
      <c r="AC35" s="17">
        <v>56800</v>
      </c>
      <c r="AD35" s="17">
        <v>66500</v>
      </c>
      <c r="AE35" s="17">
        <v>74600</v>
      </c>
      <c r="AF35" s="17">
        <v>87400</v>
      </c>
      <c r="AG35" s="17">
        <v>104800</v>
      </c>
      <c r="AH35" s="17">
        <v>110700</v>
      </c>
      <c r="AI35" s="17">
        <v>119700</v>
      </c>
      <c r="AJ35" s="17">
        <v>132700</v>
      </c>
      <c r="AK35" s="17">
        <v>139900</v>
      </c>
      <c r="AL35" s="17">
        <v>148400</v>
      </c>
      <c r="AM35" s="17">
        <v>157500</v>
      </c>
      <c r="AN35" s="17">
        <v>175500</v>
      </c>
      <c r="AO35" s="19"/>
      <c r="AP35" s="19"/>
      <c r="AQ35" s="19"/>
      <c r="AR35" s="19"/>
    </row>
    <row r="36" spans="1:44" x14ac:dyDescent="0.3">
      <c r="T36" s="27">
        <v>25</v>
      </c>
      <c r="U36" s="17">
        <v>36100</v>
      </c>
      <c r="V36" s="17">
        <v>36400</v>
      </c>
      <c r="W36" s="17">
        <v>37200</v>
      </c>
      <c r="X36" s="17">
        <v>39000</v>
      </c>
      <c r="Y36" s="17">
        <v>42200</v>
      </c>
      <c r="Z36" s="17">
        <v>43600</v>
      </c>
      <c r="AA36" s="17">
        <v>45700</v>
      </c>
      <c r="AB36" s="17">
        <v>53500</v>
      </c>
      <c r="AC36" s="17">
        <v>58500</v>
      </c>
      <c r="AD36" s="17">
        <v>68500</v>
      </c>
      <c r="AE36" s="17">
        <v>76800</v>
      </c>
      <c r="AF36" s="17">
        <v>90000</v>
      </c>
      <c r="AG36" s="17">
        <v>107900</v>
      </c>
      <c r="AH36" s="17">
        <v>114000</v>
      </c>
      <c r="AI36" s="17">
        <v>123300</v>
      </c>
      <c r="AJ36" s="17">
        <v>136700</v>
      </c>
      <c r="AK36" s="17">
        <v>144100</v>
      </c>
      <c r="AL36" s="17">
        <v>152900</v>
      </c>
      <c r="AM36" s="17">
        <v>162200</v>
      </c>
      <c r="AN36" s="17">
        <v>180800</v>
      </c>
      <c r="AO36" s="19"/>
      <c r="AP36" s="19"/>
      <c r="AQ36" s="19"/>
      <c r="AR36" s="19"/>
    </row>
    <row r="37" spans="1:44" x14ac:dyDescent="0.3">
      <c r="T37" s="27">
        <v>26</v>
      </c>
      <c r="U37" s="17">
        <v>37200</v>
      </c>
      <c r="V37" s="17">
        <v>37500</v>
      </c>
      <c r="W37" s="17">
        <v>38300</v>
      </c>
      <c r="X37" s="17">
        <v>40200</v>
      </c>
      <c r="Y37" s="17">
        <v>43500</v>
      </c>
      <c r="Z37" s="17">
        <v>44900</v>
      </c>
      <c r="AA37" s="17">
        <v>47100</v>
      </c>
      <c r="AB37" s="17">
        <v>55100</v>
      </c>
      <c r="AC37" s="17">
        <v>60300</v>
      </c>
      <c r="AD37" s="17">
        <v>70600</v>
      </c>
      <c r="AE37" s="17">
        <v>79100</v>
      </c>
      <c r="AF37" s="17">
        <v>92700</v>
      </c>
      <c r="AG37" s="17">
        <v>111100</v>
      </c>
      <c r="AH37" s="17">
        <v>117400</v>
      </c>
      <c r="AI37" s="17">
        <v>127000</v>
      </c>
      <c r="AJ37" s="17">
        <v>140800</v>
      </c>
      <c r="AK37" s="17">
        <v>148400</v>
      </c>
      <c r="AL37" s="17">
        <v>157500</v>
      </c>
      <c r="AM37" s="17">
        <v>167100</v>
      </c>
      <c r="AN37" s="17">
        <v>186200</v>
      </c>
      <c r="AO37" s="19"/>
      <c r="AP37" s="19"/>
      <c r="AQ37" s="19"/>
      <c r="AR37" s="19"/>
    </row>
    <row r="38" spans="1:44" x14ac:dyDescent="0.3">
      <c r="T38" s="27">
        <v>27</v>
      </c>
      <c r="U38" s="17">
        <v>38300</v>
      </c>
      <c r="V38" s="17">
        <v>38600</v>
      </c>
      <c r="W38" s="17">
        <v>39400</v>
      </c>
      <c r="X38" s="17">
        <v>41400</v>
      </c>
      <c r="Y38" s="17">
        <v>44800</v>
      </c>
      <c r="Z38" s="17">
        <v>46200</v>
      </c>
      <c r="AA38" s="17">
        <v>48500</v>
      </c>
      <c r="AB38" s="17">
        <v>56800</v>
      </c>
      <c r="AC38" s="17">
        <v>62100</v>
      </c>
      <c r="AD38" s="17">
        <v>72700</v>
      </c>
      <c r="AE38" s="17">
        <v>81500</v>
      </c>
      <c r="AF38" s="17">
        <v>95500</v>
      </c>
      <c r="AG38" s="17">
        <v>114400</v>
      </c>
      <c r="AH38" s="17">
        <v>120900</v>
      </c>
      <c r="AI38" s="17">
        <v>130800</v>
      </c>
      <c r="AJ38" s="17">
        <v>145000</v>
      </c>
      <c r="AK38" s="17">
        <v>152900</v>
      </c>
      <c r="AL38" s="17">
        <v>162200</v>
      </c>
      <c r="AM38" s="17">
        <v>172100</v>
      </c>
      <c r="AN38" s="17">
        <v>191800</v>
      </c>
      <c r="AO38" s="19"/>
      <c r="AP38" s="19"/>
      <c r="AQ38" s="19"/>
      <c r="AR38" s="19"/>
    </row>
    <row r="39" spans="1:44" x14ac:dyDescent="0.3">
      <c r="T39" s="27">
        <v>28</v>
      </c>
      <c r="U39" s="17">
        <v>39400</v>
      </c>
      <c r="V39" s="17">
        <v>39800</v>
      </c>
      <c r="W39" s="17">
        <v>40600</v>
      </c>
      <c r="X39" s="17">
        <v>42600</v>
      </c>
      <c r="Y39" s="17">
        <v>46100</v>
      </c>
      <c r="Z39" s="17">
        <v>47600</v>
      </c>
      <c r="AA39" s="17">
        <v>50000</v>
      </c>
      <c r="AB39" s="17">
        <v>58500</v>
      </c>
      <c r="AC39" s="17">
        <v>64000</v>
      </c>
      <c r="AD39" s="17">
        <v>74900</v>
      </c>
      <c r="AE39" s="17">
        <v>83900</v>
      </c>
      <c r="AF39" s="17">
        <v>98400</v>
      </c>
      <c r="AG39" s="17">
        <v>117800</v>
      </c>
      <c r="AH39" s="17">
        <v>124500</v>
      </c>
      <c r="AI39" s="17">
        <v>134700</v>
      </c>
      <c r="AJ39" s="17">
        <v>149400</v>
      </c>
      <c r="AK39" s="17">
        <v>157500</v>
      </c>
      <c r="AL39" s="17">
        <v>167100</v>
      </c>
      <c r="AM39" s="17">
        <v>177300</v>
      </c>
      <c r="AN39" s="17">
        <v>197600</v>
      </c>
      <c r="AO39" s="19"/>
      <c r="AP39" s="19"/>
      <c r="AQ39" s="19"/>
      <c r="AR39" s="19"/>
    </row>
    <row r="40" spans="1:44" x14ac:dyDescent="0.3">
      <c r="T40" s="27">
        <v>29</v>
      </c>
      <c r="U40" s="17">
        <v>40600</v>
      </c>
      <c r="V40" s="17">
        <v>41000</v>
      </c>
      <c r="W40" s="17">
        <v>41800</v>
      </c>
      <c r="X40" s="17">
        <v>43900</v>
      </c>
      <c r="Y40" s="17">
        <v>47500</v>
      </c>
      <c r="Z40" s="17">
        <v>49000</v>
      </c>
      <c r="AA40" s="17">
        <v>51500</v>
      </c>
      <c r="AB40" s="17">
        <v>60300</v>
      </c>
      <c r="AC40" s="17">
        <v>65900</v>
      </c>
      <c r="AD40" s="17">
        <v>77100</v>
      </c>
      <c r="AE40" s="17">
        <v>86400</v>
      </c>
      <c r="AF40" s="17">
        <v>101400</v>
      </c>
      <c r="AG40" s="17">
        <v>121300</v>
      </c>
      <c r="AH40" s="17">
        <v>128200</v>
      </c>
      <c r="AI40" s="17">
        <v>138700</v>
      </c>
      <c r="AJ40" s="17">
        <v>153900</v>
      </c>
      <c r="AK40" s="17">
        <v>162200</v>
      </c>
      <c r="AL40" s="17">
        <v>172100</v>
      </c>
      <c r="AM40" s="17">
        <v>182600</v>
      </c>
      <c r="AN40" s="17">
        <v>203500</v>
      </c>
      <c r="AO40" s="19"/>
      <c r="AP40" s="19"/>
      <c r="AQ40" s="19"/>
      <c r="AR40" s="19"/>
    </row>
    <row r="41" spans="1:44" x14ac:dyDescent="0.3">
      <c r="T41" s="27">
        <v>30</v>
      </c>
      <c r="U41" s="17">
        <v>41800</v>
      </c>
      <c r="V41" s="17">
        <v>42200</v>
      </c>
      <c r="W41" s="17">
        <v>43100</v>
      </c>
      <c r="X41" s="17">
        <v>45200</v>
      </c>
      <c r="Y41" s="17">
        <v>48900</v>
      </c>
      <c r="Z41" s="17">
        <v>50500</v>
      </c>
      <c r="AA41" s="17">
        <v>53000</v>
      </c>
      <c r="AB41" s="17">
        <v>62100</v>
      </c>
      <c r="AC41" s="17">
        <v>67900</v>
      </c>
      <c r="AD41" s="17">
        <v>79400</v>
      </c>
      <c r="AE41" s="17">
        <v>89000</v>
      </c>
      <c r="AF41" s="17">
        <v>104400</v>
      </c>
      <c r="AG41" s="17">
        <v>124900</v>
      </c>
      <c r="AH41" s="17">
        <v>132000</v>
      </c>
      <c r="AI41" s="17">
        <v>142900</v>
      </c>
      <c r="AJ41" s="17">
        <v>158500</v>
      </c>
      <c r="AK41" s="17">
        <v>167100</v>
      </c>
      <c r="AL41" s="17">
        <v>177300</v>
      </c>
      <c r="AM41" s="17">
        <v>188100</v>
      </c>
      <c r="AN41" s="19"/>
      <c r="AO41" s="19"/>
      <c r="AP41" s="19"/>
      <c r="AQ41" s="19"/>
      <c r="AR41" s="19"/>
    </row>
    <row r="42" spans="1:44" x14ac:dyDescent="0.3">
      <c r="T42" s="27">
        <v>31</v>
      </c>
      <c r="U42" s="17">
        <v>43100</v>
      </c>
      <c r="V42" s="17">
        <v>43500</v>
      </c>
      <c r="W42" s="17">
        <v>44400</v>
      </c>
      <c r="X42" s="17">
        <v>46600</v>
      </c>
      <c r="Y42" s="17">
        <v>50400</v>
      </c>
      <c r="Z42" s="17">
        <v>52000</v>
      </c>
      <c r="AA42" s="17">
        <v>54600</v>
      </c>
      <c r="AB42" s="17">
        <v>64000</v>
      </c>
      <c r="AC42" s="17">
        <v>69900</v>
      </c>
      <c r="AD42" s="17">
        <v>81800</v>
      </c>
      <c r="AE42" s="17">
        <v>91700</v>
      </c>
      <c r="AF42" s="17">
        <v>107500</v>
      </c>
      <c r="AG42" s="17">
        <v>128600</v>
      </c>
      <c r="AH42" s="17">
        <v>136000</v>
      </c>
      <c r="AI42" s="17">
        <v>147200</v>
      </c>
      <c r="AJ42" s="17">
        <v>163300</v>
      </c>
      <c r="AK42" s="17">
        <v>172100</v>
      </c>
      <c r="AL42" s="17">
        <v>182600</v>
      </c>
      <c r="AM42" s="17">
        <v>193700</v>
      </c>
      <c r="AN42" s="19"/>
      <c r="AO42" s="19"/>
      <c r="AP42" s="19"/>
      <c r="AQ42" s="19"/>
      <c r="AR42" s="19"/>
    </row>
    <row r="43" spans="1:44" x14ac:dyDescent="0.3">
      <c r="T43" s="27">
        <v>32</v>
      </c>
      <c r="U43" s="17">
        <v>44400</v>
      </c>
      <c r="V43" s="17">
        <v>44800</v>
      </c>
      <c r="W43" s="17">
        <v>45700</v>
      </c>
      <c r="X43" s="17">
        <v>48000</v>
      </c>
      <c r="Y43" s="17">
        <v>51900</v>
      </c>
      <c r="Z43" s="17">
        <v>53600</v>
      </c>
      <c r="AA43" s="17">
        <v>56200</v>
      </c>
      <c r="AB43" s="17">
        <v>65900</v>
      </c>
      <c r="AC43" s="17">
        <v>72000</v>
      </c>
      <c r="AD43" s="17">
        <v>84300</v>
      </c>
      <c r="AE43" s="17">
        <v>94500</v>
      </c>
      <c r="AF43" s="17">
        <v>110700</v>
      </c>
      <c r="AG43" s="17">
        <v>132500</v>
      </c>
      <c r="AH43" s="17">
        <v>140100</v>
      </c>
      <c r="AI43" s="17">
        <v>151600</v>
      </c>
      <c r="AJ43" s="17">
        <v>168200</v>
      </c>
      <c r="AK43" s="17">
        <v>177300</v>
      </c>
      <c r="AL43" s="17">
        <v>188100</v>
      </c>
      <c r="AM43" s="17">
        <v>199500</v>
      </c>
      <c r="AN43" s="19"/>
      <c r="AO43" s="19"/>
      <c r="AP43" s="19"/>
      <c r="AQ43" s="19"/>
      <c r="AR43" s="19"/>
    </row>
    <row r="44" spans="1:44" x14ac:dyDescent="0.3">
      <c r="T44" s="27">
        <v>33</v>
      </c>
      <c r="U44" s="17">
        <v>45700</v>
      </c>
      <c r="V44" s="17">
        <v>46100</v>
      </c>
      <c r="W44" s="17">
        <v>47100</v>
      </c>
      <c r="X44" s="17">
        <v>49400</v>
      </c>
      <c r="Y44" s="17">
        <v>53500</v>
      </c>
      <c r="Z44" s="17">
        <v>55200</v>
      </c>
      <c r="AA44" s="17">
        <v>57900</v>
      </c>
      <c r="AB44" s="17">
        <v>67900</v>
      </c>
      <c r="AC44" s="17">
        <v>74200</v>
      </c>
      <c r="AD44" s="17">
        <v>86800</v>
      </c>
      <c r="AE44" s="17">
        <v>97300</v>
      </c>
      <c r="AF44" s="17">
        <v>114000</v>
      </c>
      <c r="AG44" s="17">
        <v>136500</v>
      </c>
      <c r="AH44" s="17">
        <v>144300</v>
      </c>
      <c r="AI44" s="17">
        <v>156100</v>
      </c>
      <c r="AJ44" s="17">
        <v>173200</v>
      </c>
      <c r="AK44" s="17">
        <v>182600</v>
      </c>
      <c r="AL44" s="17">
        <v>193700</v>
      </c>
      <c r="AM44" s="19"/>
      <c r="AN44" s="19"/>
      <c r="AO44" s="19"/>
      <c r="AP44" s="19"/>
      <c r="AQ44" s="19"/>
      <c r="AR44" s="19"/>
    </row>
    <row r="45" spans="1:44" x14ac:dyDescent="0.3">
      <c r="T45" s="27">
        <v>34</v>
      </c>
      <c r="U45" s="17">
        <v>47100</v>
      </c>
      <c r="V45" s="17">
        <v>47500</v>
      </c>
      <c r="W45" s="17">
        <v>48500</v>
      </c>
      <c r="X45" s="17">
        <v>50900</v>
      </c>
      <c r="Y45" s="17">
        <v>55100</v>
      </c>
      <c r="Z45" s="17">
        <v>56900</v>
      </c>
      <c r="AA45" s="17">
        <v>59600</v>
      </c>
      <c r="AB45" s="17">
        <v>69900</v>
      </c>
      <c r="AC45" s="17">
        <v>76400</v>
      </c>
      <c r="AD45" s="17">
        <v>89400</v>
      </c>
      <c r="AE45" s="17">
        <v>100200</v>
      </c>
      <c r="AF45" s="17">
        <v>117400</v>
      </c>
      <c r="AG45" s="17">
        <v>140600</v>
      </c>
      <c r="AH45" s="17">
        <v>148600</v>
      </c>
      <c r="AI45" s="17">
        <v>160800</v>
      </c>
      <c r="AJ45" s="17">
        <v>178400</v>
      </c>
      <c r="AK45" s="17">
        <v>188100</v>
      </c>
      <c r="AL45" s="17">
        <v>199500</v>
      </c>
      <c r="AM45" s="19"/>
      <c r="AN45" s="19"/>
      <c r="AO45" s="19"/>
      <c r="AP45" s="19"/>
      <c r="AQ45" s="19"/>
      <c r="AR45" s="19"/>
    </row>
    <row r="46" spans="1:44" x14ac:dyDescent="0.3">
      <c r="T46" s="27">
        <v>35</v>
      </c>
      <c r="U46" s="17">
        <v>48500</v>
      </c>
      <c r="V46" s="17">
        <v>48900</v>
      </c>
      <c r="W46" s="17">
        <v>50000</v>
      </c>
      <c r="X46" s="17">
        <v>52400</v>
      </c>
      <c r="Y46" s="17">
        <v>56800</v>
      </c>
      <c r="Z46" s="17">
        <v>58600</v>
      </c>
      <c r="AA46" s="17">
        <v>61400</v>
      </c>
      <c r="AB46" s="17">
        <v>72000</v>
      </c>
      <c r="AC46" s="17">
        <v>78700</v>
      </c>
      <c r="AD46" s="17">
        <v>92100</v>
      </c>
      <c r="AE46" s="17">
        <v>103200</v>
      </c>
      <c r="AF46" s="17">
        <v>120900</v>
      </c>
      <c r="AG46" s="17">
        <v>144800</v>
      </c>
      <c r="AH46" s="17">
        <v>153100</v>
      </c>
      <c r="AI46" s="17">
        <v>165600</v>
      </c>
      <c r="AJ46" s="17">
        <v>183800</v>
      </c>
      <c r="AK46" s="17">
        <v>193700</v>
      </c>
      <c r="AL46" s="19"/>
      <c r="AM46" s="19"/>
      <c r="AN46" s="19"/>
      <c r="AO46" s="19"/>
      <c r="AP46" s="19"/>
      <c r="AQ46" s="19"/>
      <c r="AR46" s="19"/>
    </row>
    <row r="47" spans="1:44" x14ac:dyDescent="0.3">
      <c r="T47" s="27">
        <v>36</v>
      </c>
      <c r="U47" s="17">
        <v>50000</v>
      </c>
      <c r="V47" s="17">
        <v>50400</v>
      </c>
      <c r="W47" s="17">
        <v>51500</v>
      </c>
      <c r="X47" s="17">
        <v>54000</v>
      </c>
      <c r="Y47" s="17">
        <v>58500</v>
      </c>
      <c r="Z47" s="17">
        <v>60400</v>
      </c>
      <c r="AA47" s="17">
        <v>63200</v>
      </c>
      <c r="AB47" s="17">
        <v>74200</v>
      </c>
      <c r="AC47" s="17">
        <v>81100</v>
      </c>
      <c r="AD47" s="17">
        <v>94900</v>
      </c>
      <c r="AE47" s="17">
        <v>106300</v>
      </c>
      <c r="AF47" s="17">
        <v>124500</v>
      </c>
      <c r="AG47" s="17">
        <v>149100</v>
      </c>
      <c r="AH47" s="17">
        <v>157700</v>
      </c>
      <c r="AI47" s="17">
        <v>170600</v>
      </c>
      <c r="AJ47" s="17">
        <v>189300</v>
      </c>
      <c r="AK47" s="17">
        <v>199500</v>
      </c>
      <c r="AL47" s="19"/>
      <c r="AM47" s="19"/>
      <c r="AN47" s="19"/>
      <c r="AO47" s="19"/>
      <c r="AP47" s="19"/>
      <c r="AQ47" s="19"/>
      <c r="AR47" s="19"/>
    </row>
    <row r="48" spans="1:44" x14ac:dyDescent="0.3">
      <c r="T48" s="27">
        <v>37</v>
      </c>
      <c r="U48" s="17">
        <v>51500</v>
      </c>
      <c r="V48" s="17">
        <v>51900</v>
      </c>
      <c r="W48" s="17">
        <v>53000</v>
      </c>
      <c r="X48" s="17">
        <v>55600</v>
      </c>
      <c r="Y48" s="17">
        <v>60300</v>
      </c>
      <c r="Z48" s="17">
        <v>62200</v>
      </c>
      <c r="AA48" s="17">
        <v>65100</v>
      </c>
      <c r="AB48" s="17">
        <v>76400</v>
      </c>
      <c r="AC48" s="17">
        <v>83500</v>
      </c>
      <c r="AD48" s="17">
        <v>97700</v>
      </c>
      <c r="AE48" s="17">
        <v>109500</v>
      </c>
      <c r="AF48" s="17">
        <v>128200</v>
      </c>
      <c r="AG48" s="17">
        <v>153600</v>
      </c>
      <c r="AH48" s="17">
        <v>162400</v>
      </c>
      <c r="AI48" s="17">
        <v>175700</v>
      </c>
      <c r="AJ48" s="17">
        <v>195000</v>
      </c>
      <c r="AK48" s="19"/>
      <c r="AL48" s="19"/>
      <c r="AM48" s="19"/>
      <c r="AN48" s="19"/>
      <c r="AO48" s="19"/>
      <c r="AP48" s="19"/>
      <c r="AQ48" s="19"/>
      <c r="AR48" s="19"/>
    </row>
    <row r="49" spans="20:44" x14ac:dyDescent="0.3">
      <c r="T49" s="27">
        <v>38</v>
      </c>
      <c r="U49" s="17">
        <v>53000</v>
      </c>
      <c r="V49" s="17">
        <v>53500</v>
      </c>
      <c r="W49" s="17">
        <v>54600</v>
      </c>
      <c r="X49" s="17">
        <v>57300</v>
      </c>
      <c r="Y49" s="17">
        <v>62100</v>
      </c>
      <c r="Z49" s="17">
        <v>64100</v>
      </c>
      <c r="AA49" s="17">
        <v>67100</v>
      </c>
      <c r="AB49" s="17">
        <v>78700</v>
      </c>
      <c r="AC49" s="17">
        <v>86000</v>
      </c>
      <c r="AD49" s="17">
        <v>100600</v>
      </c>
      <c r="AE49" s="17">
        <v>112800</v>
      </c>
      <c r="AF49" s="17">
        <v>132000</v>
      </c>
      <c r="AG49" s="17">
        <v>158200</v>
      </c>
      <c r="AH49" s="17">
        <v>167300</v>
      </c>
      <c r="AI49" s="17">
        <v>181000</v>
      </c>
      <c r="AJ49" s="19"/>
      <c r="AK49" s="19"/>
      <c r="AL49" s="19"/>
      <c r="AM49" s="19"/>
      <c r="AN49" s="19"/>
      <c r="AO49" s="19"/>
      <c r="AP49" s="19"/>
      <c r="AQ49" s="19"/>
      <c r="AR49" s="19"/>
    </row>
    <row r="50" spans="20:44" x14ac:dyDescent="0.3">
      <c r="T50" s="27">
        <v>39</v>
      </c>
      <c r="U50" s="17">
        <v>54600</v>
      </c>
      <c r="V50" s="17">
        <v>55100</v>
      </c>
      <c r="W50" s="17">
        <v>56200</v>
      </c>
      <c r="X50" s="17">
        <v>59000</v>
      </c>
      <c r="Y50" s="17">
        <v>64000</v>
      </c>
      <c r="Z50" s="17">
        <v>66000</v>
      </c>
      <c r="AA50" s="17">
        <v>69100</v>
      </c>
      <c r="AB50" s="17">
        <v>81100</v>
      </c>
      <c r="AC50" s="17">
        <v>88600</v>
      </c>
      <c r="AD50" s="17">
        <v>103600</v>
      </c>
      <c r="AE50" s="17">
        <v>116200</v>
      </c>
      <c r="AF50" s="17">
        <v>136000</v>
      </c>
      <c r="AG50" s="17">
        <v>162900</v>
      </c>
      <c r="AH50" s="17">
        <v>172300</v>
      </c>
      <c r="AI50" s="17">
        <v>186400</v>
      </c>
      <c r="AJ50" s="19"/>
      <c r="AK50" s="19"/>
      <c r="AL50" s="19"/>
      <c r="AM50" s="19"/>
      <c r="AN50" s="19"/>
      <c r="AO50" s="19"/>
      <c r="AP50" s="19"/>
      <c r="AQ50" s="19"/>
      <c r="AR50" s="19"/>
    </row>
    <row r="51" spans="20:44" x14ac:dyDescent="0.3">
      <c r="T51" s="27">
        <v>40</v>
      </c>
      <c r="U51" s="17">
        <v>56200</v>
      </c>
      <c r="V51" s="17">
        <v>56800</v>
      </c>
      <c r="W51" s="17">
        <v>57900</v>
      </c>
      <c r="X51" s="17">
        <v>60800</v>
      </c>
      <c r="Y51" s="17">
        <v>65900</v>
      </c>
      <c r="Z51" s="17">
        <v>68000</v>
      </c>
      <c r="AA51" s="17">
        <v>71200</v>
      </c>
      <c r="AB51" s="17">
        <v>83500</v>
      </c>
      <c r="AC51" s="17">
        <v>91300</v>
      </c>
      <c r="AD51" s="17">
        <v>106700</v>
      </c>
      <c r="AE51" s="17">
        <v>119700</v>
      </c>
      <c r="AF51" s="17">
        <v>140100</v>
      </c>
      <c r="AG51" s="17">
        <v>167800</v>
      </c>
      <c r="AH51" s="17">
        <v>177500</v>
      </c>
      <c r="AI51" s="17">
        <v>192000</v>
      </c>
      <c r="AJ51" s="19"/>
      <c r="AK51" s="19"/>
      <c r="AL51" s="19"/>
      <c r="AM51" s="19"/>
      <c r="AN51" s="19"/>
      <c r="AO51" s="19"/>
      <c r="AP51" s="19"/>
      <c r="AQ51" s="19"/>
      <c r="AR51" s="19"/>
    </row>
  </sheetData>
  <sheetProtection password="CE76" sheet="1" objects="1" scenarios="1"/>
  <mergeCells count="29">
    <mergeCell ref="H27:J27"/>
    <mergeCell ref="H26:J26"/>
    <mergeCell ref="L5:M5"/>
    <mergeCell ref="N5:AS5"/>
    <mergeCell ref="H25:J25"/>
    <mergeCell ref="L9:M13"/>
    <mergeCell ref="L7:M8"/>
    <mergeCell ref="L6:N6"/>
    <mergeCell ref="B30:F30"/>
    <mergeCell ref="E31:F34"/>
    <mergeCell ref="B31:C35"/>
    <mergeCell ref="D35:F35"/>
    <mergeCell ref="A28:K28"/>
    <mergeCell ref="H29:I29"/>
    <mergeCell ref="A1:K1"/>
    <mergeCell ref="H15:J15"/>
    <mergeCell ref="H16:J16"/>
    <mergeCell ref="H17:J17"/>
    <mergeCell ref="A18:B18"/>
    <mergeCell ref="A3:K3"/>
    <mergeCell ref="A4:K5"/>
    <mergeCell ref="C6:C7"/>
    <mergeCell ref="B6:B7"/>
    <mergeCell ref="A6:A7"/>
    <mergeCell ref="K6:K7"/>
    <mergeCell ref="F6:F7"/>
    <mergeCell ref="G6:J6"/>
    <mergeCell ref="E6:E7"/>
    <mergeCell ref="D6:D7"/>
  </mergeCells>
  <dataValidations count="2">
    <dataValidation type="list" allowBlank="1" showInputMessage="1" showErrorMessage="1" sqref="I9:I14">
      <formula1>$U$11:$AR$11</formula1>
    </dataValidation>
    <dataValidation type="list" allowBlank="1" showInputMessage="1" showErrorMessage="1" sqref="P11">
      <formula1>INDIRECT($O$11)</formula1>
    </dataValidation>
  </dataValidations>
  <pageMargins left="0.70866141732283472" right="0.70866141732283472" top="0.74803149606299213" bottom="0.74803149606299213" header="0.31496062992125984" footer="0.31496062992125984"/>
  <pageSetup paperSize="9" orientation="landscape" verticalDpi="300" r:id="rId1"/>
  <headerFooter>
    <oddFooter xml:space="preserve">&amp;R&amp;"Brush Script MT,Regular"Programmed by Hans Raj Joshi&amp;"-,Regular"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D29"/>
  <sheetViews>
    <sheetView tabSelected="1" topLeftCell="A4" workbookViewId="0">
      <selection activeCell="I4" sqref="I4:AD4"/>
    </sheetView>
  </sheetViews>
  <sheetFormatPr defaultColWidth="8.77734375" defaultRowHeight="14.4" x14ac:dyDescent="0.3"/>
  <cols>
    <col min="1" max="1" width="3.21875" style="114" customWidth="1"/>
    <col min="2" max="2" width="23.44140625" style="114" customWidth="1"/>
    <col min="3" max="3" width="140.21875" style="114" customWidth="1"/>
    <col min="4" max="4" width="3.21875" style="114" customWidth="1"/>
    <col min="5" max="16384" width="8.77734375" style="114"/>
  </cols>
  <sheetData>
    <row r="1" spans="1:4" ht="15" thickBot="1" x14ac:dyDescent="0.35">
      <c r="A1" s="257"/>
      <c r="B1" s="257"/>
      <c r="C1" s="257"/>
      <c r="D1" s="257"/>
    </row>
    <row r="2" spans="1:4" ht="28.2" thickTop="1" x14ac:dyDescent="0.3">
      <c r="A2" s="257"/>
      <c r="B2" s="258" t="s">
        <v>303</v>
      </c>
      <c r="C2" s="259"/>
      <c r="D2" s="257"/>
    </row>
    <row r="3" spans="1:4" ht="17.399999999999999" x14ac:dyDescent="0.3">
      <c r="A3" s="257"/>
      <c r="B3" s="260" t="s">
        <v>228</v>
      </c>
      <c r="C3" s="260"/>
      <c r="D3" s="257"/>
    </row>
    <row r="4" spans="1:4" ht="70.5" customHeight="1" thickBot="1" x14ac:dyDescent="0.35">
      <c r="A4" s="257"/>
      <c r="C4" s="115" t="s">
        <v>233</v>
      </c>
      <c r="D4" s="257"/>
    </row>
    <row r="5" spans="1:4" ht="34.049999999999997" customHeight="1" thickTop="1" thickBot="1" x14ac:dyDescent="0.35">
      <c r="A5" s="257"/>
      <c r="B5" s="261" t="s">
        <v>266</v>
      </c>
      <c r="C5" s="262"/>
      <c r="D5" s="257"/>
    </row>
    <row r="6" spans="1:4" ht="29.55" customHeight="1" thickTop="1" x14ac:dyDescent="0.3">
      <c r="A6" s="257"/>
      <c r="B6" s="116" t="s">
        <v>234</v>
      </c>
      <c r="C6" s="117" t="s">
        <v>262</v>
      </c>
      <c r="D6" s="257"/>
    </row>
    <row r="7" spans="1:4" ht="41.55" customHeight="1" x14ac:dyDescent="0.3">
      <c r="A7" s="257"/>
      <c r="B7" s="118" t="s">
        <v>235</v>
      </c>
      <c r="C7" s="119" t="s">
        <v>263</v>
      </c>
      <c r="D7" s="257"/>
    </row>
    <row r="8" spans="1:4" ht="33" customHeight="1" x14ac:dyDescent="0.3">
      <c r="A8" s="257"/>
      <c r="B8" s="118" t="s">
        <v>236</v>
      </c>
      <c r="C8" s="119" t="s">
        <v>264</v>
      </c>
      <c r="D8" s="257"/>
    </row>
    <row r="9" spans="1:4" ht="41.55" customHeight="1" x14ac:dyDescent="0.3">
      <c r="A9" s="257"/>
      <c r="B9" s="118" t="s">
        <v>237</v>
      </c>
      <c r="C9" s="119" t="s">
        <v>265</v>
      </c>
      <c r="D9" s="257"/>
    </row>
    <row r="10" spans="1:4" ht="30.6" hidden="1" customHeight="1" x14ac:dyDescent="0.3">
      <c r="A10" s="257"/>
      <c r="B10" s="118"/>
      <c r="C10" s="119"/>
      <c r="D10" s="257"/>
    </row>
    <row r="11" spans="1:4" ht="30" customHeight="1" x14ac:dyDescent="0.3">
      <c r="A11" s="257"/>
      <c r="B11" s="140" t="s">
        <v>229</v>
      </c>
      <c r="C11" s="141" t="s">
        <v>230</v>
      </c>
      <c r="D11" s="257"/>
    </row>
    <row r="12" spans="1:4" x14ac:dyDescent="0.3">
      <c r="A12" s="257"/>
      <c r="B12" s="143"/>
      <c r="C12" s="142"/>
      <c r="D12" s="257"/>
    </row>
    <row r="13" spans="1:4" x14ac:dyDescent="0.3">
      <c r="A13" s="257"/>
      <c r="B13" s="143"/>
      <c r="C13" s="143" t="s">
        <v>231</v>
      </c>
      <c r="D13" s="257"/>
    </row>
    <row r="14" spans="1:4" x14ac:dyDescent="0.3">
      <c r="A14" s="257"/>
      <c r="B14" s="143"/>
      <c r="C14" s="263"/>
      <c r="D14" s="257"/>
    </row>
    <row r="15" spans="1:4" x14ac:dyDescent="0.3">
      <c r="A15" s="257"/>
      <c r="B15" s="143"/>
      <c r="C15" s="263"/>
      <c r="D15" s="257"/>
    </row>
    <row r="16" spans="1:4" x14ac:dyDescent="0.3">
      <c r="A16" s="257"/>
      <c r="B16" s="143"/>
      <c r="C16" s="263"/>
      <c r="D16" s="257"/>
    </row>
    <row r="17" spans="1:4" x14ac:dyDescent="0.3">
      <c r="A17" s="257"/>
      <c r="B17" s="143"/>
      <c r="C17" s="263"/>
      <c r="D17" s="257"/>
    </row>
    <row r="18" spans="1:4" x14ac:dyDescent="0.3">
      <c r="A18" s="257"/>
      <c r="B18" s="143"/>
      <c r="C18" s="263"/>
      <c r="D18" s="257"/>
    </row>
    <row r="19" spans="1:4" x14ac:dyDescent="0.3">
      <c r="A19" s="257"/>
      <c r="B19" s="143"/>
      <c r="C19" s="143" t="s">
        <v>232</v>
      </c>
      <c r="D19" s="257"/>
    </row>
    <row r="20" spans="1:4" x14ac:dyDescent="0.3">
      <c r="A20" s="257"/>
      <c r="B20" s="257"/>
      <c r="C20" s="257"/>
      <c r="D20" s="257"/>
    </row>
    <row r="22" spans="1:4" x14ac:dyDescent="0.3">
      <c r="B22" s="218" t="s">
        <v>302</v>
      </c>
      <c r="C22" s="114" t="s">
        <v>305</v>
      </c>
    </row>
    <row r="23" spans="1:4" x14ac:dyDescent="0.3">
      <c r="C23" s="114" t="s">
        <v>304</v>
      </c>
    </row>
    <row r="24" spans="1:4" x14ac:dyDescent="0.3">
      <c r="C24" s="114" t="s">
        <v>300</v>
      </c>
    </row>
    <row r="25" spans="1:4" x14ac:dyDescent="0.3">
      <c r="C25" s="114" t="s">
        <v>301</v>
      </c>
    </row>
    <row r="27" spans="1:4" x14ac:dyDescent="0.3">
      <c r="B27" s="114" t="s">
        <v>308</v>
      </c>
      <c r="C27" s="114" t="s">
        <v>307</v>
      </c>
    </row>
    <row r="28" spans="1:4" x14ac:dyDescent="0.3">
      <c r="B28" s="114" t="s">
        <v>316</v>
      </c>
      <c r="C28" s="114" t="s">
        <v>317</v>
      </c>
    </row>
    <row r="29" spans="1:4" x14ac:dyDescent="0.3">
      <c r="B29" s="223" t="s">
        <v>322</v>
      </c>
      <c r="C29" s="223" t="s">
        <v>323</v>
      </c>
    </row>
  </sheetData>
  <sheetProtection password="CE20" sheet="1" objects="1" scenarios="1"/>
  <mergeCells count="8">
    <mergeCell ref="A1:A19"/>
    <mergeCell ref="B1:D1"/>
    <mergeCell ref="B2:C2"/>
    <mergeCell ref="D2:D20"/>
    <mergeCell ref="B3:C3"/>
    <mergeCell ref="B5:C5"/>
    <mergeCell ref="C14:C18"/>
    <mergeCell ref="A20:C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T38"/>
  <sheetViews>
    <sheetView showGridLines="0" topLeftCell="B6" workbookViewId="0">
      <selection activeCell="D15" sqref="D15"/>
    </sheetView>
  </sheetViews>
  <sheetFormatPr defaultRowHeight="14.4" x14ac:dyDescent="0.3"/>
  <cols>
    <col min="1" max="1" width="3.33203125" customWidth="1"/>
    <col min="2" max="2" width="9.6640625" customWidth="1"/>
    <col min="3" max="3" width="36.5546875" customWidth="1"/>
    <col min="4" max="4" width="25.21875" customWidth="1"/>
    <col min="5" max="5" width="11.77734375" customWidth="1"/>
    <col min="7" max="7" width="19.21875" customWidth="1"/>
    <col min="8" max="8" width="19.88671875" customWidth="1"/>
    <col min="9" max="9" width="18" customWidth="1"/>
    <col min="11" max="11" width="3.33203125" customWidth="1"/>
    <col min="13" max="13" width="7.77734375" customWidth="1"/>
    <col min="14" max="14" width="23.5546875" customWidth="1"/>
    <col min="15" max="15" width="21" hidden="1" customWidth="1"/>
  </cols>
  <sheetData>
    <row r="1" spans="1:20" ht="15" thickBot="1" x14ac:dyDescent="0.35">
      <c r="A1" s="95"/>
      <c r="B1" s="95"/>
      <c r="C1" s="95"/>
      <c r="D1" s="95"/>
      <c r="E1" s="95"/>
      <c r="F1" s="95"/>
      <c r="G1" s="95"/>
      <c r="H1" s="95"/>
      <c r="I1" s="95"/>
      <c r="J1" s="95"/>
      <c r="K1" s="95"/>
    </row>
    <row r="2" spans="1:20" ht="30.6" customHeight="1" thickTop="1" thickBot="1" x14ac:dyDescent="0.45">
      <c r="A2" s="95"/>
      <c r="B2" s="106" t="s">
        <v>184</v>
      </c>
      <c r="C2" s="284" t="s">
        <v>321</v>
      </c>
      <c r="D2" s="284"/>
      <c r="E2" s="284"/>
      <c r="F2" s="284"/>
      <c r="G2" s="284"/>
      <c r="H2" s="284"/>
      <c r="I2" s="284"/>
      <c r="J2" s="284"/>
      <c r="K2" s="95"/>
    </row>
    <row r="3" spans="1:20" ht="15" thickTop="1" x14ac:dyDescent="0.3">
      <c r="A3" s="95"/>
      <c r="B3" s="113"/>
      <c r="C3" s="113"/>
      <c r="D3" s="113"/>
      <c r="E3" s="113"/>
      <c r="F3" s="113"/>
      <c r="G3" s="113"/>
      <c r="H3" s="113"/>
      <c r="I3" s="113"/>
      <c r="J3" s="113"/>
      <c r="K3" s="95"/>
      <c r="N3" s="100" t="s">
        <v>210</v>
      </c>
      <c r="O3" s="96" t="s">
        <v>205</v>
      </c>
      <c r="T3" t="s">
        <v>309</v>
      </c>
    </row>
    <row r="4" spans="1:20" x14ac:dyDescent="0.3">
      <c r="A4" s="95"/>
      <c r="B4" s="113"/>
      <c r="C4" s="113"/>
      <c r="D4" s="113"/>
      <c r="E4" s="113"/>
      <c r="F4" s="113"/>
      <c r="G4" s="113"/>
      <c r="H4" s="113"/>
      <c r="I4" s="113"/>
      <c r="J4" s="113"/>
      <c r="K4" s="95"/>
      <c r="N4" s="102" t="s">
        <v>211</v>
      </c>
      <c r="O4" s="96" t="s">
        <v>206</v>
      </c>
      <c r="T4" t="s">
        <v>310</v>
      </c>
    </row>
    <row r="5" spans="1:20" ht="15" thickBot="1" x14ac:dyDescent="0.35">
      <c r="A5" s="95"/>
      <c r="B5" s="113"/>
      <c r="J5" s="113"/>
      <c r="K5" s="95"/>
      <c r="N5" s="102" t="s">
        <v>219</v>
      </c>
      <c r="O5" s="96" t="s">
        <v>207</v>
      </c>
      <c r="T5" t="s">
        <v>315</v>
      </c>
    </row>
    <row r="6" spans="1:20" ht="15.6" thickBot="1" x14ac:dyDescent="0.35">
      <c r="A6" s="95"/>
      <c r="B6" s="113"/>
      <c r="C6" s="120" t="s">
        <v>185</v>
      </c>
      <c r="D6" s="161" t="s">
        <v>269</v>
      </c>
      <c r="E6" s="87"/>
      <c r="F6" s="120" t="s">
        <v>131</v>
      </c>
      <c r="G6" s="221" t="s">
        <v>219</v>
      </c>
      <c r="H6" s="219" t="s">
        <v>309</v>
      </c>
      <c r="I6" s="220" t="s">
        <v>310</v>
      </c>
      <c r="J6" s="113"/>
      <c r="K6" s="95"/>
      <c r="N6" s="102" t="s">
        <v>212</v>
      </c>
      <c r="O6" s="96" t="s">
        <v>273</v>
      </c>
      <c r="T6" t="s">
        <v>311</v>
      </c>
    </row>
    <row r="7" spans="1:20" ht="18" thickBot="1" x14ac:dyDescent="0.35">
      <c r="A7" s="95"/>
      <c r="B7" s="113"/>
      <c r="C7" s="87"/>
      <c r="D7" s="87"/>
      <c r="E7" s="87"/>
      <c r="F7" s="87"/>
      <c r="G7" s="87"/>
      <c r="H7" s="87" t="s">
        <v>314</v>
      </c>
      <c r="I7" s="162" t="s">
        <v>40</v>
      </c>
      <c r="J7" s="113"/>
      <c r="K7" s="95"/>
      <c r="N7" s="102" t="s">
        <v>186</v>
      </c>
      <c r="O7" s="96"/>
      <c r="T7" t="s">
        <v>312</v>
      </c>
    </row>
    <row r="8" spans="1:20" ht="15.6" thickBot="1" x14ac:dyDescent="0.35">
      <c r="A8" s="95"/>
      <c r="B8" s="113"/>
      <c r="C8" s="120" t="s">
        <v>194</v>
      </c>
      <c r="D8" s="161" t="s">
        <v>195</v>
      </c>
      <c r="E8" s="87"/>
      <c r="F8" s="120" t="s">
        <v>222</v>
      </c>
      <c r="G8" s="285" t="s">
        <v>223</v>
      </c>
      <c r="H8" s="285"/>
      <c r="I8" s="285"/>
      <c r="J8" s="113"/>
      <c r="K8" s="95"/>
      <c r="N8" s="102" t="s">
        <v>213</v>
      </c>
      <c r="O8" s="97"/>
    </row>
    <row r="9" spans="1:20" ht="15" thickBot="1" x14ac:dyDescent="0.35">
      <c r="A9" s="95"/>
      <c r="B9" s="113"/>
      <c r="C9" s="87"/>
      <c r="D9" s="87"/>
      <c r="E9" s="87"/>
      <c r="F9" s="87"/>
      <c r="G9" s="87"/>
      <c r="H9" s="87"/>
      <c r="I9" s="87"/>
      <c r="J9" s="113"/>
      <c r="K9" s="95"/>
      <c r="N9" s="102" t="s">
        <v>214</v>
      </c>
      <c r="O9" s="97"/>
    </row>
    <row r="10" spans="1:20" ht="18" thickBot="1" x14ac:dyDescent="0.35">
      <c r="A10" s="95"/>
      <c r="B10" s="113"/>
      <c r="C10" s="120" t="s">
        <v>278</v>
      </c>
      <c r="D10" s="178">
        <v>42917</v>
      </c>
      <c r="E10" s="87"/>
      <c r="F10" s="286" t="str">
        <f>IF($D$12="","Fill reason of fixation above","वेतन नियतन"&amp;" ("&amp;$D$12&amp;")"&amp;"से पूर्व पे -लेवल ")</f>
        <v xml:space="preserve">वेतन नियतन (NOTIONAL)से पूर्व पे -लेवल </v>
      </c>
      <c r="G10" s="286" t="str">
        <f t="shared" ref="G10:H14" si="0">IF($D$12="","Fill reason of fixation above","वेतन नियतन"&amp;" ("&amp;$D$12&amp;")"&amp;"दिनांक")</f>
        <v>वेतन नियतन (NOTIONAL)दिनांक</v>
      </c>
      <c r="H10" s="286" t="str">
        <f t="shared" si="0"/>
        <v>वेतन नियतन (NOTIONAL)दिनांक</v>
      </c>
      <c r="I10" s="162" t="s">
        <v>42</v>
      </c>
      <c r="J10" s="287"/>
      <c r="K10" s="95"/>
      <c r="N10" s="102" t="s">
        <v>215</v>
      </c>
    </row>
    <row r="11" spans="1:20" ht="15" thickBot="1" x14ac:dyDescent="0.35">
      <c r="A11" s="95"/>
      <c r="B11" s="113"/>
      <c r="C11" s="87"/>
      <c r="D11" s="197" t="s">
        <v>288</v>
      </c>
      <c r="E11" s="87"/>
      <c r="F11" s="87"/>
      <c r="G11" s="87"/>
      <c r="H11" s="87"/>
      <c r="I11" s="87"/>
      <c r="J11" s="287"/>
      <c r="K11" s="95"/>
      <c r="N11" s="102" t="s">
        <v>216</v>
      </c>
    </row>
    <row r="12" spans="1:20" ht="18.600000000000001" thickBot="1" x14ac:dyDescent="0.35">
      <c r="A12" s="95"/>
      <c r="B12" s="113"/>
      <c r="C12" s="120" t="s">
        <v>204</v>
      </c>
      <c r="D12" s="196" t="s">
        <v>273</v>
      </c>
      <c r="F12" s="286" t="str">
        <f>IF($D$12="","Fill reason of fixation above","वेतन नियतन"&amp;" ("&amp;$D$12&amp;")"&amp;"से पूर्व वेतन ")</f>
        <v xml:space="preserve">वेतन नियतन (NOTIONAL)से पूर्व वेतन </v>
      </c>
      <c r="G12" s="286" t="str">
        <f t="shared" si="0"/>
        <v>वेतन नियतन (NOTIONAL)दिनांक</v>
      </c>
      <c r="H12" s="286" t="str">
        <f t="shared" si="0"/>
        <v>वेतन नियतन (NOTIONAL)दिनांक</v>
      </c>
      <c r="I12" s="163">
        <v>46500</v>
      </c>
      <c r="J12" s="287"/>
      <c r="K12" s="95"/>
      <c r="N12" s="102" t="s">
        <v>217</v>
      </c>
    </row>
    <row r="13" spans="1:20" ht="15" thickBot="1" x14ac:dyDescent="0.35">
      <c r="A13" s="95"/>
      <c r="B13" s="113"/>
      <c r="J13" s="287"/>
      <c r="K13" s="95"/>
      <c r="N13" s="102" t="s">
        <v>218</v>
      </c>
    </row>
    <row r="14" spans="1:20" ht="18" thickBot="1" x14ac:dyDescent="0.35">
      <c r="A14" s="95"/>
      <c r="B14" s="113"/>
      <c r="C14" s="120" t="str">
        <f>IF(D12="NOTIONAL","वास्तविक स्थाईकरण तिथि",IF($D$12="","Fill reason of fixation above","वेतन नियतन"&amp;" ("&amp;$D$12&amp;")"&amp;"दिनांक"))</f>
        <v>वास्तविक स्थाईकरण तिथि</v>
      </c>
      <c r="D14" s="178">
        <v>43647</v>
      </c>
      <c r="F14" s="286" t="str">
        <f>IF($D$12="","Fill reason of fixation above","वेतन नियतन"&amp;" ("&amp;$D$12&amp;")"&amp;"से पूर्व वेतन का प्रकार")</f>
        <v>वेतन नियतन (NOTIONAL)से पूर्व वेतन का प्रकार</v>
      </c>
      <c r="G14" s="286" t="str">
        <f t="shared" si="0"/>
        <v>वेतन नियतन (NOTIONAL)दिनांक</v>
      </c>
      <c r="H14" s="286" t="str">
        <f t="shared" si="0"/>
        <v>वेतन नियतन (NOTIONAL)दिनांक</v>
      </c>
      <c r="I14" s="164" t="s">
        <v>261</v>
      </c>
      <c r="J14" s="287"/>
      <c r="K14" s="95"/>
      <c r="N14" s="102"/>
    </row>
    <row r="15" spans="1:20" ht="15" thickBot="1" x14ac:dyDescent="0.35">
      <c r="A15" s="95"/>
      <c r="B15" s="113"/>
      <c r="J15" s="113"/>
      <c r="K15" s="95"/>
      <c r="N15" s="102"/>
    </row>
    <row r="16" spans="1:20" ht="15" thickBot="1" x14ac:dyDescent="0.35">
      <c r="A16" s="95"/>
      <c r="B16" s="113"/>
      <c r="C16" s="286" t="s">
        <v>209</v>
      </c>
      <c r="D16" s="286"/>
      <c r="E16" s="286"/>
      <c r="F16" s="288" t="s">
        <v>268</v>
      </c>
      <c r="G16" s="288"/>
      <c r="H16" s="288"/>
      <c r="J16" s="113"/>
      <c r="K16" s="95"/>
      <c r="N16" s="102"/>
    </row>
    <row r="17" spans="1:15" ht="15" thickBot="1" x14ac:dyDescent="0.35">
      <c r="A17" s="95"/>
      <c r="B17" s="113"/>
      <c r="J17" s="113"/>
      <c r="K17" s="95"/>
      <c r="N17" s="102"/>
    </row>
    <row r="18" spans="1:15" ht="15.6" thickTop="1" thickBot="1" x14ac:dyDescent="0.35">
      <c r="A18" s="95"/>
      <c r="B18" s="113"/>
      <c r="C18" s="270" t="s">
        <v>238</v>
      </c>
      <c r="D18" s="271"/>
      <c r="E18" s="271"/>
      <c r="F18" s="271"/>
      <c r="G18" s="271"/>
      <c r="H18" s="271"/>
      <c r="I18" s="272"/>
      <c r="J18" s="113"/>
      <c r="K18" s="95"/>
      <c r="N18" s="102"/>
    </row>
    <row r="19" spans="1:15" ht="15.6" thickTop="1" thickBot="1" x14ac:dyDescent="0.35">
      <c r="A19" s="95"/>
      <c r="B19" s="113"/>
      <c r="J19" s="113"/>
      <c r="K19" s="95"/>
      <c r="N19" s="102"/>
    </row>
    <row r="20" spans="1:15" ht="15" thickBot="1" x14ac:dyDescent="0.35">
      <c r="A20" s="95"/>
      <c r="B20" s="113"/>
      <c r="C20" s="120" t="s">
        <v>189</v>
      </c>
      <c r="D20" s="273" t="s">
        <v>190</v>
      </c>
      <c r="E20" s="273"/>
      <c r="F20" s="273"/>
      <c r="G20" s="273"/>
      <c r="H20" s="273"/>
      <c r="I20" s="273"/>
      <c r="J20" s="113"/>
      <c r="K20" s="95"/>
      <c r="N20" s="102"/>
    </row>
    <row r="21" spans="1:15" ht="15" thickBot="1" x14ac:dyDescent="0.35">
      <c r="A21" s="95"/>
      <c r="B21" s="113"/>
      <c r="J21" s="113"/>
      <c r="K21" s="95"/>
    </row>
    <row r="22" spans="1:15" ht="15" thickBot="1" x14ac:dyDescent="0.35">
      <c r="A22" s="95"/>
      <c r="B22" s="113"/>
      <c r="C22" s="120" t="s">
        <v>187</v>
      </c>
      <c r="D22" s="273" t="s">
        <v>191</v>
      </c>
      <c r="E22" s="273"/>
      <c r="F22" s="273"/>
      <c r="G22" s="273"/>
      <c r="H22" s="273"/>
      <c r="I22" s="273"/>
      <c r="J22" s="113"/>
      <c r="K22" s="95"/>
    </row>
    <row r="23" spans="1:15" ht="15" thickBot="1" x14ac:dyDescent="0.35">
      <c r="A23" s="95"/>
      <c r="B23" s="113"/>
      <c r="J23" s="113"/>
      <c r="K23" s="95"/>
    </row>
    <row r="24" spans="1:15" ht="15" thickBot="1" x14ac:dyDescent="0.35">
      <c r="A24" s="95"/>
      <c r="B24" s="113"/>
      <c r="C24" s="120" t="s">
        <v>188</v>
      </c>
      <c r="D24" s="273" t="s">
        <v>192</v>
      </c>
      <c r="E24" s="273"/>
      <c r="F24" s="273"/>
      <c r="G24" s="273"/>
      <c r="H24" s="273"/>
      <c r="I24" s="273"/>
      <c r="J24" s="113"/>
      <c r="K24" s="95"/>
    </row>
    <row r="25" spans="1:15" x14ac:dyDescent="0.3">
      <c r="A25" s="95"/>
      <c r="B25" s="113"/>
      <c r="J25" s="113"/>
      <c r="K25" s="95"/>
    </row>
    <row r="26" spans="1:15" ht="15" thickBot="1" x14ac:dyDescent="0.35">
      <c r="A26" s="95"/>
      <c r="B26" s="113"/>
      <c r="J26" s="113"/>
      <c r="K26" s="95"/>
    </row>
    <row r="27" spans="1:15" ht="15" thickBot="1" x14ac:dyDescent="0.35">
      <c r="A27" s="95"/>
      <c r="B27" s="113"/>
      <c r="C27" s="289" t="s">
        <v>241</v>
      </c>
      <c r="D27" s="290"/>
      <c r="E27" s="290"/>
      <c r="F27" s="290"/>
      <c r="G27" s="290"/>
      <c r="H27" s="290"/>
      <c r="I27" s="291"/>
      <c r="K27" s="95"/>
      <c r="M27" s="264" t="s">
        <v>64</v>
      </c>
      <c r="N27" s="265"/>
      <c r="O27" s="266"/>
    </row>
    <row r="28" spans="1:15" ht="15" thickBot="1" x14ac:dyDescent="0.35">
      <c r="A28" s="95"/>
      <c r="B28" s="113"/>
      <c r="K28" s="95"/>
      <c r="M28" s="267"/>
      <c r="N28" s="268"/>
      <c r="O28" s="269"/>
    </row>
    <row r="29" spans="1:15" ht="15.6" thickBot="1" x14ac:dyDescent="0.35">
      <c r="A29" s="95"/>
      <c r="B29" s="113"/>
      <c r="C29" s="120" t="s">
        <v>240</v>
      </c>
      <c r="D29" s="187" t="s">
        <v>186</v>
      </c>
      <c r="F29" s="277" t="s">
        <v>275</v>
      </c>
      <c r="G29" s="278"/>
      <c r="H29" s="279" t="s">
        <v>212</v>
      </c>
      <c r="I29" s="280"/>
      <c r="K29" s="95"/>
      <c r="M29" s="274" t="s">
        <v>220</v>
      </c>
      <c r="N29" s="275"/>
      <c r="O29" s="276"/>
    </row>
    <row r="30" spans="1:15" ht="15" thickBot="1" x14ac:dyDescent="0.35">
      <c r="A30" s="95"/>
      <c r="B30" s="113"/>
      <c r="K30" s="95"/>
      <c r="M30" s="274" t="s">
        <v>221</v>
      </c>
      <c r="N30" s="275"/>
      <c r="O30" s="276"/>
    </row>
    <row r="31" spans="1:15" ht="15.6" thickTop="1" thickBot="1" x14ac:dyDescent="0.35">
      <c r="A31" s="95"/>
      <c r="B31" s="113"/>
      <c r="C31" s="270" t="s">
        <v>276</v>
      </c>
      <c r="D31" s="271"/>
      <c r="E31" s="271"/>
      <c r="F31" s="271"/>
      <c r="G31" s="271"/>
      <c r="H31" s="271"/>
      <c r="I31" s="272"/>
      <c r="K31" s="95"/>
      <c r="M31" s="274" t="s">
        <v>320</v>
      </c>
      <c r="N31" s="275"/>
      <c r="O31" s="276"/>
    </row>
    <row r="32" spans="1:15" ht="15.6" thickTop="1" thickBot="1" x14ac:dyDescent="0.35">
      <c r="A32" s="95"/>
      <c r="B32" s="113"/>
      <c r="J32" s="113"/>
      <c r="K32" s="95"/>
    </row>
    <row r="33" spans="1:11" ht="23.55" customHeight="1" thickBot="1" x14ac:dyDescent="0.35">
      <c r="A33" s="95"/>
      <c r="B33" s="113"/>
      <c r="C33" s="277" t="s">
        <v>277</v>
      </c>
      <c r="D33" s="278"/>
      <c r="E33" s="195">
        <v>42917</v>
      </c>
      <c r="G33" s="281" t="s">
        <v>299</v>
      </c>
      <c r="H33" s="282"/>
      <c r="I33" s="283"/>
      <c r="J33" s="113"/>
      <c r="K33" s="95"/>
    </row>
    <row r="34" spans="1:11" ht="15" thickBot="1" x14ac:dyDescent="0.35">
      <c r="A34" s="95"/>
      <c r="B34" s="113"/>
      <c r="G34" s="194" t="s">
        <v>298</v>
      </c>
      <c r="H34" s="192" t="s">
        <v>280</v>
      </c>
      <c r="I34" s="192" t="s">
        <v>281</v>
      </c>
      <c r="J34" s="113"/>
      <c r="K34" s="95"/>
    </row>
    <row r="35" spans="1:11" ht="19.5" customHeight="1" thickBot="1" x14ac:dyDescent="0.35">
      <c r="A35" s="95"/>
      <c r="B35" s="113"/>
      <c r="C35" s="277" t="s">
        <v>279</v>
      </c>
      <c r="D35" s="278"/>
      <c r="E35" s="195">
        <v>43647</v>
      </c>
      <c r="G35" s="210"/>
      <c r="H35" s="217" t="s">
        <v>44</v>
      </c>
      <c r="I35" s="217">
        <v>54700</v>
      </c>
      <c r="J35" s="113"/>
      <c r="K35" s="95"/>
    </row>
    <row r="36" spans="1:11" x14ac:dyDescent="0.3">
      <c r="A36" s="95"/>
      <c r="K36" s="95"/>
    </row>
    <row r="37" spans="1:11" x14ac:dyDescent="0.3">
      <c r="A37" s="95"/>
      <c r="K37" s="95"/>
    </row>
    <row r="38" spans="1:11" x14ac:dyDescent="0.3">
      <c r="A38" s="95"/>
      <c r="B38" s="95"/>
      <c r="C38" s="95"/>
      <c r="D38" s="95"/>
      <c r="E38" s="95"/>
      <c r="F38" s="95"/>
      <c r="G38" s="95"/>
      <c r="H38" s="95"/>
      <c r="I38" s="95"/>
      <c r="J38" s="95"/>
      <c r="K38" s="95"/>
    </row>
  </sheetData>
  <sheetProtection password="CE76" sheet="1" objects="1" scenarios="1" formatColumns="0" formatRows="0"/>
  <mergeCells count="23">
    <mergeCell ref="C33:D33"/>
    <mergeCell ref="C35:D35"/>
    <mergeCell ref="G33:I33"/>
    <mergeCell ref="C2:J2"/>
    <mergeCell ref="G8:I8"/>
    <mergeCell ref="F10:H10"/>
    <mergeCell ref="J10:J14"/>
    <mergeCell ref="F12:H12"/>
    <mergeCell ref="F14:H14"/>
    <mergeCell ref="F16:H16"/>
    <mergeCell ref="C16:E16"/>
    <mergeCell ref="C27:I27"/>
    <mergeCell ref="M29:O29"/>
    <mergeCell ref="M30:O30"/>
    <mergeCell ref="M31:O31"/>
    <mergeCell ref="F29:G29"/>
    <mergeCell ref="H29:I29"/>
    <mergeCell ref="C31:I31"/>
    <mergeCell ref="M27:O28"/>
    <mergeCell ref="C18:I18"/>
    <mergeCell ref="D20:I20"/>
    <mergeCell ref="D24:I24"/>
    <mergeCell ref="D22:I22"/>
  </mergeCells>
  <conditionalFormatting sqref="H35">
    <cfRule type="expression" dxfId="1" priority="2">
      <formula>$G$34="NO"</formula>
    </cfRule>
  </conditionalFormatting>
  <conditionalFormatting sqref="I35">
    <cfRule type="expression" dxfId="0" priority="1">
      <formula>$G$34="NO"</formula>
    </cfRule>
  </conditionalFormatting>
  <dataValidations count="9">
    <dataValidation type="list" allowBlank="1" showInputMessage="1" showErrorMessage="1" sqref="D12">
      <formula1>$O$3:$O$6</formula1>
    </dataValidation>
    <dataValidation type="list" allowBlank="1" showInputMessage="1" showErrorMessage="1" sqref="I14">
      <formula1>"Fix Pay,Regular"</formula1>
    </dataValidation>
    <dataValidation type="list" allowBlank="1" showInputMessage="1" showErrorMessage="1" sqref="F16:H16">
      <formula1>"प्रथम एसीपी,द्वितीय एसीपी,तृतीय एसीपी,NA"</formula1>
    </dataValidation>
    <dataValidation type="list" allowBlank="1" showInputMessage="1" showErrorMessage="1" sqref="G6">
      <formula1>$N$4:$N$20</formula1>
    </dataValidation>
    <dataValidation type="list" allowBlank="1" showInputMessage="1" showErrorMessage="1" sqref="I10 H35 I7">
      <formula1>PAY_लेवाल</formula1>
    </dataValidation>
    <dataValidation type="list" allowBlank="1" showInputMessage="1" showErrorMessage="1" sqref="I35">
      <formula1>INDIRECT($H35)</formula1>
    </dataValidation>
    <dataValidation type="list" allowBlank="1" showInputMessage="1" showErrorMessage="1" sqref="G34">
      <formula1>"YES,NO"</formula1>
    </dataValidation>
    <dataValidation type="date" operator="greaterThanOrEqual" allowBlank="1" showInputMessage="1" showErrorMessage="1" error="THIS PROGRAMME MADE FOR 01-01-2017 AND ONWARDS" sqref="D14">
      <formula1>42736</formula1>
    </dataValidation>
    <dataValidation type="list" allowBlank="1" showInputMessage="1" showErrorMessage="1" sqref="I6">
      <formula1>$T$4:$T$8</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BF60"/>
  <sheetViews>
    <sheetView topLeftCell="A3" zoomScaleNormal="100" workbookViewId="0">
      <selection activeCell="I22" sqref="I22"/>
    </sheetView>
  </sheetViews>
  <sheetFormatPr defaultColWidth="8.77734375" defaultRowHeight="14.4" x14ac:dyDescent="0.3"/>
  <cols>
    <col min="1" max="1" width="3.21875" style="23" customWidth="1"/>
    <col min="2" max="2" width="3.77734375" style="23" customWidth="1"/>
    <col min="3" max="3" width="20.88671875" style="23" customWidth="1"/>
    <col min="4" max="4" width="12.77734375" style="23" customWidth="1"/>
    <col min="5" max="5" width="11.21875" style="23" bestFit="1" customWidth="1"/>
    <col min="6" max="6" width="11.5546875" style="23" bestFit="1" customWidth="1"/>
    <col min="7" max="7" width="14.33203125" style="23" customWidth="1"/>
    <col min="8" max="8" width="7.5546875" style="23" customWidth="1"/>
    <col min="9" max="9" width="10" style="23" customWidth="1"/>
    <col min="10" max="10" width="11.21875" style="23" bestFit="1" customWidth="1"/>
    <col min="11" max="11" width="13.5546875" style="28" customWidth="1"/>
    <col min="12" max="12" width="6.88671875" style="23" customWidth="1"/>
    <col min="13" max="13" width="8.77734375" style="23"/>
    <col min="14" max="14" width="11.21875" style="23" bestFit="1" customWidth="1"/>
    <col min="15" max="15" width="11.21875" style="23" customWidth="1"/>
    <col min="16" max="16" width="3.21875" style="23" customWidth="1"/>
    <col min="17" max="17" width="7" style="23" customWidth="1"/>
    <col min="18" max="18" width="8.77734375" style="23"/>
    <col min="19" max="19" width="25.44140625" style="23" customWidth="1"/>
    <col min="20" max="23" width="8.77734375" style="23"/>
    <col min="24" max="53" width="8.77734375" style="23" hidden="1" customWidth="1"/>
    <col min="54" max="59" width="8.77734375" style="23" customWidth="1"/>
    <col min="60" max="16384" width="8.77734375" style="23"/>
  </cols>
  <sheetData>
    <row r="1" spans="1:58" x14ac:dyDescent="0.3">
      <c r="A1" s="98"/>
      <c r="B1" s="98"/>
      <c r="C1" s="98"/>
      <c r="D1" s="98"/>
      <c r="E1" s="98"/>
      <c r="F1" s="98"/>
      <c r="G1" s="98"/>
      <c r="H1" s="98"/>
      <c r="I1" s="98"/>
      <c r="J1" s="98"/>
      <c r="K1" s="98"/>
      <c r="L1" s="98"/>
      <c r="M1" s="98"/>
      <c r="N1" s="98"/>
      <c r="O1" s="98"/>
      <c r="P1" s="98"/>
    </row>
    <row r="2" spans="1:58" ht="34.049999999999997" customHeight="1" x14ac:dyDescent="0.3">
      <c r="A2" s="98"/>
      <c r="B2" s="294" t="str">
        <f>MASTER!B2&amp;" "&amp;MASTER!C2</f>
        <v xml:space="preserve">कार्यालय प्रधानाचार्य राजकीय उच्च माध्यमिक विद्यालय राजपुरा पिपेरन  श्री गंगानगर </v>
      </c>
      <c r="C2" s="294"/>
      <c r="D2" s="294"/>
      <c r="E2" s="294"/>
      <c r="F2" s="294"/>
      <c r="G2" s="294"/>
      <c r="H2" s="294"/>
      <c r="I2" s="294"/>
      <c r="J2" s="294"/>
      <c r="K2" s="294"/>
      <c r="L2" s="294"/>
      <c r="M2" s="294"/>
      <c r="N2" s="294"/>
      <c r="O2" s="183"/>
      <c r="P2" s="98"/>
    </row>
    <row r="3" spans="1:58" ht="13.5" customHeight="1" x14ac:dyDescent="0.3">
      <c r="A3" s="98"/>
      <c r="B3" s="24"/>
      <c r="C3" s="24" t="s">
        <v>56</v>
      </c>
      <c r="D3" s="24"/>
      <c r="E3" s="24"/>
      <c r="F3" s="24"/>
      <c r="G3" s="24"/>
      <c r="H3" s="24"/>
      <c r="I3" s="24"/>
      <c r="J3" s="24"/>
      <c r="K3" s="41"/>
      <c r="L3" s="24" t="s">
        <v>13</v>
      </c>
      <c r="M3" s="24"/>
      <c r="N3" s="24"/>
      <c r="O3" s="24"/>
      <c r="P3" s="98"/>
    </row>
    <row r="4" spans="1:58" ht="16.5" customHeight="1" x14ac:dyDescent="0.4">
      <c r="A4" s="98"/>
      <c r="B4" s="228" t="s">
        <v>0</v>
      </c>
      <c r="C4" s="228"/>
      <c r="D4" s="228"/>
      <c r="E4" s="228"/>
      <c r="F4" s="228"/>
      <c r="G4" s="228"/>
      <c r="H4" s="228"/>
      <c r="I4" s="228"/>
      <c r="J4" s="228"/>
      <c r="K4" s="228"/>
      <c r="L4" s="228"/>
      <c r="M4" s="228"/>
      <c r="N4" s="228"/>
      <c r="O4" s="182"/>
      <c r="P4" s="98"/>
    </row>
    <row r="5" spans="1:58" ht="16.5" customHeight="1" x14ac:dyDescent="0.3">
      <c r="A5" s="98"/>
      <c r="B5" s="302" t="str">
        <f>MASTER!D20&amp;" "&amp;MASTER!D22&amp;" के "&amp;MASTER!C24&amp;" "&amp;MASTER!D24&amp;" "&amp;" की अनुपालना में"</f>
        <v>श्रीमान संयुक्त निदेशक संयुक्त निदेशक स्कूल शिक्षा ,बीकानेर संभाग,बीकानेर  के आदेश क्रमांक सनि/स्कू.शि. /2020/स्थायीकरण/1632 दिनांक 15.10.2020  की अनुपालना में</v>
      </c>
      <c r="C5" s="302"/>
      <c r="D5" s="302"/>
      <c r="E5" s="302"/>
      <c r="F5" s="302"/>
      <c r="G5" s="302"/>
      <c r="H5" s="302"/>
      <c r="I5" s="302"/>
      <c r="J5" s="302"/>
      <c r="K5" s="302"/>
      <c r="L5" s="302"/>
      <c r="M5" s="302"/>
      <c r="N5" s="302"/>
      <c r="O5" s="184"/>
      <c r="P5" s="98"/>
    </row>
    <row r="6" spans="1:58" ht="61.05" customHeight="1" x14ac:dyDescent="0.3">
      <c r="A6" s="98"/>
      <c r="B6" s="303" t="str">
        <f>IF(MASTER!D12="CONFIRMATION ",control!K2,IF(MASTER!D12="ACP ",control!Y3,IF(MASTER!D12="PROMOTION ",control!Y7,IF(MASTER!D12="NOTIONAL",control!AA3,""))))</f>
        <v>माननीय उच्च न्यायालय जोधपुर/जयपुर के निर्णयानुसार तृतीय श्रेणी प्राथमिक ओर उच्च प्राथमिक विद्यालय अध्यापक भर्ती 2013 के अन्तर्गत संशोधित एवं पुनः संशोधित परिणाम से चयनोपरान्त शिक्षकों को नोशनल परिलाभ हेतु पारित निर्णय के पालनार्थ श्रीमान वरिष्ठ विधि परामर्शी प्रारम्भिक शिक्षा (विधि प्रकोष्ठ) राजस्थान जयपुर के पत्रांक प.18(279) प्रा.शि/वि.प्र./18/जयपुर दिनांक 20.11.2018 की अनुपालना में  इस कार्यालय के निम्नांकित  कार्मिक के वास्तविक प्रथम कार्यग्रहण तिथि को माननीय न्यायालय के निर्णयानुसार नोशनल/वरिष्ठता परिलाभ हेतु निर्धारित तिथि (प्रथम परिणाम नियुक्त शिक्षको की कार्यग्रहण तिथि)  से नोशनल परिलाभ हेतु स्थायीकरण तिथि करने एवं वास्तविक कार्यग्रहण तिथि से दो वर्ष परिविक्षाकाल पूर्ण होने पर स्थाईकरण  किये जाने पर निम्नानुसार वेतन निर्धारण किया जाता है:-"</v>
      </c>
      <c r="C6" s="303"/>
      <c r="D6" s="303"/>
      <c r="E6" s="303"/>
      <c r="F6" s="303"/>
      <c r="G6" s="303"/>
      <c r="H6" s="303"/>
      <c r="I6" s="303"/>
      <c r="J6" s="303"/>
      <c r="K6" s="303"/>
      <c r="L6" s="303"/>
      <c r="M6" s="303"/>
      <c r="N6" s="303"/>
      <c r="O6" s="185"/>
      <c r="P6" s="98"/>
      <c r="BB6" s="122">
        <f ca="1">TODAY()</f>
        <v>44969</v>
      </c>
      <c r="BC6" s="47" t="s">
        <v>179</v>
      </c>
      <c r="BD6" s="55">
        <f ca="1">YEAR(BB6)</f>
        <v>2023</v>
      </c>
      <c r="BE6" s="47">
        <v>7</v>
      </c>
      <c r="BF6" s="47">
        <v>1</v>
      </c>
    </row>
    <row r="7" spans="1:58" ht="21.6" customHeight="1" x14ac:dyDescent="0.3">
      <c r="A7" s="98"/>
      <c r="B7" s="301" t="str">
        <f>IF(MASTER!D12="ACP ","PAY FIXATION AFTER"&amp;" "&amp;MASTER!D12&amp;"("&amp;MASTER!F16&amp;")","PAY FIXATION AFTER"&amp;" "&amp;MASTER!D12)</f>
        <v>PAY FIXATION AFTER NOTIONAL</v>
      </c>
      <c r="C7" s="301"/>
      <c r="D7" s="301"/>
      <c r="E7" s="301"/>
      <c r="F7" s="301"/>
      <c r="G7" s="301"/>
      <c r="H7" s="301"/>
      <c r="I7" s="301"/>
      <c r="J7" s="301"/>
      <c r="K7" s="301"/>
      <c r="L7" s="301"/>
      <c r="M7" s="301"/>
      <c r="N7" s="301"/>
      <c r="O7" s="186"/>
      <c r="P7" s="98"/>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row>
    <row r="8" spans="1:58" s="24" customFormat="1" ht="45.6" customHeight="1" x14ac:dyDescent="0.3">
      <c r="A8" s="98"/>
      <c r="B8" s="233" t="s">
        <v>14</v>
      </c>
      <c r="C8" s="295" t="s">
        <v>198</v>
      </c>
      <c r="D8" s="295" t="s">
        <v>199</v>
      </c>
      <c r="E8" s="295" t="s">
        <v>194</v>
      </c>
      <c r="F8" s="295" t="str">
        <f>IF(MASTER!$D$12="NOTIONAL","नोशनल लाभ तिथि","कार्यग्रहण तिथि")</f>
        <v>नोशनल लाभ तिथि</v>
      </c>
      <c r="G8" s="295" t="str">
        <f>IFERROR(IF(MASTER!$D$12="CONFIRMATION ","स्थायीकरण तिथि/ नियमित वेतन श्रंखला प्राप्ति तिथि",IF(MASTER!$D$12="ACP ","एसीपी प्राप्ति तिथि ",IF(MASTER!$D$12="PROMOTION ","पदौनती प्राप्ति तिथि",IF(MASTER!$D$12="NOTIONAL","नोशनल स्थायीकरण तिथि/ नियमित वेतन श्रंखला प्राप्ति तिथि","मास्टर शीट से चयन करे")))),"")</f>
        <v>नोशनल स्थायीकरण तिथि/ नियमित वेतन श्रंखला प्राप्ति तिथि</v>
      </c>
      <c r="H8" s="297" t="str">
        <f>IF(MASTER!$D$12="CONFIRMATION ","स्थायीकरण दिनांक से पूर्व वेतन",IF(MASTER!$D$12="ACP ","एसीपी दिनांक से पूर्व वेतन",IF(MASTER!$D$12="PROMOTION ","पदौनती दिनांक से पूर्व वेतन",IF(MASTER!$D$12="NOTIONAL","नोशनल लाभ तिथि को देय वेतन","मास्टर शीट से चयन करे"))))</f>
        <v>नोशनल लाभ तिथि को देय वेतन</v>
      </c>
      <c r="I8" s="299"/>
      <c r="J8" s="297" t="str">
        <f>IF(MASTER!$D$12="CONFIRMATION ","स्थायीकरण उपरांत वेतन नियतन",IF(MASTER!$D$12="ACP ","एसीपी उपरांत वेतन नियतन",IF(MASTER!$D$12="PROMOTION ","पदौनती उपरांत वेतन नियतन",IF(MASTER!$D$12="NOTIONAL","नोशनल स्थाईकरण उपरांत वेतन नियतन ","मास्टर शीट से चयन करे"))))</f>
        <v xml:space="preserve">नोशनल स्थाईकरण उपरांत वेतन नियतन </v>
      </c>
      <c r="K8" s="298"/>
      <c r="L8" s="298" t="str">
        <f>IF(MASTER!$D$12="CONFIRMATION ","स्थायीकरण दिनांक से पूर्व वेतन",IF(MASTER!$D$12="ACP ","एसीपी दिनांक से पूर्व वेतन",IF(MASTER!$D$12="PROMOTION ","पदौनती दिनांक से पूर्व वेतन","मास्टर शीट से चयन करे")))</f>
        <v>मास्टर शीट से चयन करे</v>
      </c>
      <c r="M8" s="299"/>
      <c r="N8" s="295" t="s">
        <v>180</v>
      </c>
      <c r="O8" s="295" t="s">
        <v>274</v>
      </c>
      <c r="P8" s="98"/>
      <c r="Q8" s="340" t="s">
        <v>254</v>
      </c>
      <c r="R8" s="341"/>
      <c r="S8" s="341"/>
      <c r="T8" s="341"/>
      <c r="U8" s="341"/>
      <c r="V8" s="341"/>
      <c r="W8" s="341"/>
      <c r="BB8" s="90">
        <f>YEAR(G11)</f>
        <v>2019</v>
      </c>
      <c r="BC8" s="89">
        <v>7</v>
      </c>
      <c r="BD8" s="89">
        <v>1</v>
      </c>
      <c r="BE8" s="90">
        <f t="shared" ref="BE8:BE15" si="0">MONTH(G11)</f>
        <v>7</v>
      </c>
    </row>
    <row r="9" spans="1:58" ht="24" customHeight="1" thickBot="1" x14ac:dyDescent="0.35">
      <c r="A9" s="98"/>
      <c r="B9" s="234"/>
      <c r="C9" s="296"/>
      <c r="D9" s="296"/>
      <c r="E9" s="296"/>
      <c r="F9" s="296"/>
      <c r="G9" s="296"/>
      <c r="H9" s="99" t="s">
        <v>200</v>
      </c>
      <c r="I9" s="99" t="s">
        <v>201</v>
      </c>
      <c r="J9" s="99" t="s">
        <v>202</v>
      </c>
      <c r="K9" s="99" t="s">
        <v>203</v>
      </c>
      <c r="L9" s="99" t="s">
        <v>200</v>
      </c>
      <c r="M9" s="99" t="s">
        <v>201</v>
      </c>
      <c r="N9" s="296"/>
      <c r="O9" s="296"/>
      <c r="P9" s="98"/>
      <c r="Q9" s="252"/>
      <c r="R9" s="253"/>
      <c r="S9" s="316" t="s">
        <v>255</v>
      </c>
      <c r="T9" s="317"/>
      <c r="U9" s="317"/>
      <c r="V9" s="317"/>
      <c r="W9" s="317"/>
      <c r="X9" s="23">
        <v>9</v>
      </c>
      <c r="Y9" s="26" t="s">
        <v>61</v>
      </c>
      <c r="AA9" s="23" t="s">
        <v>20</v>
      </c>
      <c r="AB9" s="23" t="s">
        <v>21</v>
      </c>
      <c r="AK9" s="23" t="s">
        <v>22</v>
      </c>
      <c r="AO9" s="23" t="s">
        <v>23</v>
      </c>
      <c r="AW9" s="23" t="s">
        <v>24</v>
      </c>
      <c r="BB9" s="90">
        <f ca="1">YEAR(J12)</f>
        <v>2020</v>
      </c>
      <c r="BC9" s="89">
        <v>7</v>
      </c>
      <c r="BD9" s="89">
        <v>1</v>
      </c>
      <c r="BE9" s="90">
        <f t="shared" si="0"/>
        <v>1</v>
      </c>
    </row>
    <row r="10" spans="1:58" ht="12.6" customHeight="1" x14ac:dyDescent="0.3">
      <c r="A10" s="98"/>
      <c r="B10" s="57" t="s">
        <v>85</v>
      </c>
      <c r="C10" s="57" t="s">
        <v>86</v>
      </c>
      <c r="D10" s="57" t="s">
        <v>87</v>
      </c>
      <c r="E10" s="57" t="s">
        <v>88</v>
      </c>
      <c r="F10" s="57" t="s">
        <v>89</v>
      </c>
      <c r="G10" s="57" t="s">
        <v>90</v>
      </c>
      <c r="H10" s="57">
        <v>7</v>
      </c>
      <c r="I10" s="57">
        <v>8</v>
      </c>
      <c r="J10" s="57">
        <v>9</v>
      </c>
      <c r="K10" s="57">
        <v>10</v>
      </c>
      <c r="L10" s="57">
        <v>11</v>
      </c>
      <c r="M10" s="57">
        <v>12</v>
      </c>
      <c r="N10" s="57">
        <v>13</v>
      </c>
      <c r="O10" s="57">
        <v>14</v>
      </c>
      <c r="P10" s="98"/>
      <c r="Q10" s="252"/>
      <c r="R10" s="300"/>
      <c r="S10" s="313" t="s">
        <v>244</v>
      </c>
      <c r="T10" s="314"/>
      <c r="U10" s="314"/>
      <c r="V10" s="314"/>
      <c r="W10" s="315"/>
      <c r="Y10" s="26"/>
      <c r="BB10" s="90">
        <f ca="1">YEAR(J13)</f>
        <v>2021</v>
      </c>
      <c r="BC10" s="89">
        <v>7</v>
      </c>
      <c r="BD10" s="89">
        <v>1</v>
      </c>
      <c r="BE10" s="90">
        <f t="shared" si="0"/>
        <v>1</v>
      </c>
    </row>
    <row r="11" spans="1:58" ht="14.55" customHeight="1" x14ac:dyDescent="0.3">
      <c r="A11" s="98"/>
      <c r="B11" s="52">
        <f>IF(C11="","",1)</f>
        <v>1</v>
      </c>
      <c r="C11" s="123" t="str">
        <f>'DATA ENTRY'!E4</f>
        <v>RAMCHANDER SWAMI</v>
      </c>
      <c r="D11" s="123" t="str">
        <f>'DATA ENTRY'!E6</f>
        <v>HEADMASTER</v>
      </c>
      <c r="E11" s="124" t="str">
        <f>MASTER!D8</f>
        <v>GSSS 13DOL</v>
      </c>
      <c r="F11" s="124">
        <f>IF(MASTER!$D$12="NOTIONAL",MASTER!E33,IF(MASTER!D10="","Fill in Master",MASTER!D10))</f>
        <v>42917</v>
      </c>
      <c r="G11" s="124">
        <f>IF(MASTER!$D$12="NOTIONAL",MASTER!$E$35,IF(MASTER!D14="","Fill in Master",MASTER!D14))</f>
        <v>43647</v>
      </c>
      <c r="H11" s="125" t="str">
        <f>MASTER!I10</f>
        <v>L_11</v>
      </c>
      <c r="I11" s="126">
        <f>MASTER!I12</f>
        <v>46500</v>
      </c>
      <c r="J11" s="211">
        <f>IF(G11="","",G11)</f>
        <v>43647</v>
      </c>
      <c r="K11" s="212" t="str">
        <f t="shared" ref="K11:K16" si="1">IFERROR(HLOOKUP($L11,Payband,2,0)&amp;"-"&amp;HLOOKUP($L11,Payband,3,0),"")</f>
        <v>44300-140100</v>
      </c>
      <c r="L11" s="215" t="s">
        <v>43</v>
      </c>
      <c r="M11" s="216">
        <v>44300</v>
      </c>
      <c r="N11" s="211">
        <f>IFERROR(IF(G11="","",IF(G11&lt;DATE(BB8,BC8,BD8),DATE(BB8,BC8,BD8),DATE((BB8)+1,BC8,BD8))),"")</f>
        <v>44013</v>
      </c>
      <c r="O11" s="214" t="str">
        <f>IF(MASTER!$D$12="NOTIONAL",IF(ORDER!J11&lt;ORDER!$G$15,"नोशनल","वास्तविक"),"")</f>
        <v>वास्तविक</v>
      </c>
      <c r="P11" s="98"/>
      <c r="Q11" s="93"/>
      <c r="R11" s="94"/>
      <c r="S11" s="307" t="s">
        <v>245</v>
      </c>
      <c r="T11" s="308"/>
      <c r="U11" s="308"/>
      <c r="V11" s="308"/>
      <c r="W11" s="309"/>
      <c r="X11" s="23">
        <v>10</v>
      </c>
      <c r="Y11" s="26" t="s">
        <v>61</v>
      </c>
      <c r="AA11" s="23" t="s">
        <v>25</v>
      </c>
      <c r="AB11" s="27">
        <v>1700</v>
      </c>
      <c r="AC11" s="27">
        <v>1750</v>
      </c>
      <c r="AD11" s="27">
        <v>1900</v>
      </c>
      <c r="AE11" s="27">
        <v>2000</v>
      </c>
      <c r="AF11" s="27">
        <v>2400</v>
      </c>
      <c r="AG11" s="27">
        <v>2400</v>
      </c>
      <c r="AH11" s="27">
        <v>2400</v>
      </c>
      <c r="AI11" s="27">
        <v>2800</v>
      </c>
      <c r="AJ11" s="27">
        <v>2800</v>
      </c>
      <c r="AK11" s="27">
        <v>3600</v>
      </c>
      <c r="AL11" s="27">
        <v>4200</v>
      </c>
      <c r="AM11" s="27">
        <v>4800</v>
      </c>
      <c r="AN11" s="27">
        <v>5400</v>
      </c>
      <c r="AO11" s="27">
        <v>5400</v>
      </c>
      <c r="AP11" s="27">
        <v>6000</v>
      </c>
      <c r="AQ11" s="27">
        <v>6600</v>
      </c>
      <c r="AR11" s="27">
        <v>6800</v>
      </c>
      <c r="AS11" s="27">
        <v>7200</v>
      </c>
      <c r="AT11" s="27">
        <v>7600</v>
      </c>
      <c r="AU11" s="27">
        <v>8200</v>
      </c>
      <c r="AV11" s="27">
        <v>8700</v>
      </c>
      <c r="AW11" s="27">
        <v>8900</v>
      </c>
      <c r="AX11" s="27">
        <v>9500</v>
      </c>
      <c r="AY11" s="27">
        <v>10000</v>
      </c>
      <c r="BB11" s="90" t="e">
        <f>YEAR(G14)</f>
        <v>#VALUE!</v>
      </c>
      <c r="BC11" s="89">
        <v>7</v>
      </c>
      <c r="BD11" s="89">
        <v>1</v>
      </c>
      <c r="BE11" s="90" t="e">
        <f t="shared" si="0"/>
        <v>#VALUE!</v>
      </c>
    </row>
    <row r="12" spans="1:58" x14ac:dyDescent="0.3">
      <c r="A12" s="98"/>
      <c r="B12" s="53" t="str">
        <f>IF(C12="","",MAX($B$11:B11)+1)</f>
        <v/>
      </c>
      <c r="C12" s="127"/>
      <c r="D12" s="127"/>
      <c r="E12" s="127"/>
      <c r="F12" s="128"/>
      <c r="G12" s="129"/>
      <c r="H12" s="130"/>
      <c r="I12" s="131"/>
      <c r="J12" s="211">
        <f ca="1">IF(AND(J11&lt;DATE($BD$6,$BE$6,$BF$6),N12="वार्षिक वेतनवृद्धि "),N11,"")</f>
        <v>44013</v>
      </c>
      <c r="K12" s="212" t="str">
        <f t="shared" ca="1" si="1"/>
        <v>44300-140100</v>
      </c>
      <c r="L12" s="91" t="str">
        <f ca="1">IF(J12="","",IF(N12="वार्षिक वेतनवृद्धि ",L11,"-"))</f>
        <v>L_12</v>
      </c>
      <c r="M12" s="92">
        <f ca="1">IF(J12="","",IF(N12="वार्षिक वेतनवृद्धि ",MROUND(M11*103%,100),""))</f>
        <v>45600</v>
      </c>
      <c r="N12" s="213" t="s">
        <v>291</v>
      </c>
      <c r="O12" s="214" t="str">
        <f ca="1">IF(MASTER!$D$12="NOTIONAL",IF(ORDER!J12&lt;ORDER!$G$15,"नोशनल","वास्तविक"),"")</f>
        <v>वास्तविक</v>
      </c>
      <c r="P12" s="98"/>
      <c r="Q12" s="292" t="s">
        <v>180</v>
      </c>
      <c r="R12" s="293"/>
      <c r="S12" s="304" t="s">
        <v>246</v>
      </c>
      <c r="T12" s="305"/>
      <c r="U12" s="305"/>
      <c r="V12" s="305"/>
      <c r="W12" s="306"/>
      <c r="X12" s="23">
        <v>18</v>
      </c>
      <c r="Y12" s="26" t="s">
        <v>62</v>
      </c>
      <c r="AA12" s="23" t="s">
        <v>26</v>
      </c>
      <c r="AB12" s="27">
        <v>2</v>
      </c>
      <c r="AC12" s="27">
        <v>3</v>
      </c>
      <c r="AD12" s="27">
        <v>4</v>
      </c>
      <c r="AE12" s="27">
        <v>5</v>
      </c>
      <c r="AF12" s="27">
        <v>9</v>
      </c>
      <c r="AG12" s="23" t="s">
        <v>27</v>
      </c>
      <c r="AH12" s="23" t="s">
        <v>28</v>
      </c>
      <c r="AI12" s="27">
        <v>10</v>
      </c>
      <c r="AJ12" s="23" t="s">
        <v>29</v>
      </c>
      <c r="AK12" s="27">
        <v>11</v>
      </c>
      <c r="AL12" s="27">
        <v>12</v>
      </c>
      <c r="AM12" s="27">
        <v>14</v>
      </c>
      <c r="AN12" s="27">
        <v>15</v>
      </c>
      <c r="AO12" s="27">
        <v>15</v>
      </c>
      <c r="AP12" s="27">
        <v>16</v>
      </c>
      <c r="AQ12" s="27">
        <v>17</v>
      </c>
      <c r="AR12" s="27">
        <v>18</v>
      </c>
      <c r="AS12" s="27">
        <v>19</v>
      </c>
      <c r="AT12" s="27">
        <v>20</v>
      </c>
      <c r="AU12" s="27">
        <v>21</v>
      </c>
      <c r="AV12" s="27">
        <v>22</v>
      </c>
      <c r="AW12" s="27">
        <v>23</v>
      </c>
      <c r="AX12" s="23" t="s">
        <v>30</v>
      </c>
      <c r="AY12" s="27">
        <v>24</v>
      </c>
      <c r="BB12" s="90">
        <f>YEAR(G15)</f>
        <v>2019</v>
      </c>
      <c r="BC12" s="89">
        <v>7</v>
      </c>
      <c r="BD12" s="89">
        <v>1</v>
      </c>
      <c r="BE12" s="90">
        <f t="shared" si="0"/>
        <v>7</v>
      </c>
    </row>
    <row r="13" spans="1:58" x14ac:dyDescent="0.3">
      <c r="A13" s="98"/>
      <c r="B13" s="53" t="str">
        <f>IF(C13="","",MAX($B$11:B12)+1)</f>
        <v/>
      </c>
      <c r="C13" s="132"/>
      <c r="D13" s="132"/>
      <c r="E13" s="132"/>
      <c r="F13" s="318" t="str">
        <f>IF(MASTER!$D$12="NOTIONAL","वास्तविक कार्यग्रहण /स्थाईकरण तिथि अनुसार लाभ ","")</f>
        <v xml:space="preserve">वास्तविक कार्यग्रहण /स्थाईकरण तिथि अनुसार लाभ </v>
      </c>
      <c r="G13" s="319"/>
      <c r="H13" s="319"/>
      <c r="I13" s="320"/>
      <c r="J13" s="211">
        <f ca="1">IF(AND(J12&lt;DATE(BD6,BE6,BF6),N13="वार्षिक वेतनवृद्धि "),DATE(YEAR(J12)+1,7,1),"")</f>
        <v>44378</v>
      </c>
      <c r="K13" s="212" t="str">
        <f t="shared" ca="1" si="1"/>
        <v>44300-140100</v>
      </c>
      <c r="L13" s="91" t="str">
        <f ca="1">IF(J13="","",IF(N13="वार्षिक वेतनवृद्धि ",L12,"-"))</f>
        <v>L_12</v>
      </c>
      <c r="M13" s="92">
        <f ca="1">IF(J13="","",IF(N13="वार्षिक वेतनवृद्धि ",MROUND(M12*103%,100),""))</f>
        <v>47000</v>
      </c>
      <c r="N13" s="213" t="s">
        <v>291</v>
      </c>
      <c r="O13" s="214" t="str">
        <f ca="1">IF(MASTER!$D$12="NOTIONAL",IF(ORDER!J13&lt;ORDER!$G$15,"नोशनल","वास्तविक"),"")</f>
        <v>वास्तविक</v>
      </c>
      <c r="P13" s="98"/>
      <c r="Q13" s="292"/>
      <c r="R13" s="293"/>
      <c r="S13" s="304"/>
      <c r="T13" s="305"/>
      <c r="U13" s="305"/>
      <c r="V13" s="305"/>
      <c r="W13" s="306"/>
      <c r="X13" s="23">
        <v>20</v>
      </c>
      <c r="Y13" s="26" t="s">
        <v>62</v>
      </c>
      <c r="AA13" s="23" t="s">
        <v>31</v>
      </c>
      <c r="AB13" s="28" t="s">
        <v>32</v>
      </c>
      <c r="AC13" s="28" t="s">
        <v>33</v>
      </c>
      <c r="AD13" s="28" t="s">
        <v>34</v>
      </c>
      <c r="AE13" s="23" t="s">
        <v>35</v>
      </c>
      <c r="AF13" s="23" t="s">
        <v>36</v>
      </c>
      <c r="AG13" s="23" t="s">
        <v>37</v>
      </c>
      <c r="AH13" s="23" t="s">
        <v>38</v>
      </c>
      <c r="AI13" s="23" t="s">
        <v>39</v>
      </c>
      <c r="AJ13" s="23" t="s">
        <v>40</v>
      </c>
      <c r="AK13" s="23" t="s">
        <v>41</v>
      </c>
      <c r="AL13" s="23" t="s">
        <v>42</v>
      </c>
      <c r="AM13" s="23" t="s">
        <v>43</v>
      </c>
      <c r="AN13" s="23" t="s">
        <v>44</v>
      </c>
      <c r="AO13" s="23" t="s">
        <v>45</v>
      </c>
      <c r="AP13" s="23" t="s">
        <v>46</v>
      </c>
      <c r="AQ13" s="23" t="s">
        <v>47</v>
      </c>
      <c r="AR13" s="23" t="s">
        <v>48</v>
      </c>
      <c r="AS13" s="23" t="s">
        <v>49</v>
      </c>
      <c r="AT13" s="23" t="s">
        <v>50</v>
      </c>
      <c r="AU13" s="23" t="s">
        <v>51</v>
      </c>
      <c r="AV13" s="23" t="s">
        <v>52</v>
      </c>
      <c r="AW13" s="23" t="s">
        <v>53</v>
      </c>
      <c r="AX13" s="23" t="s">
        <v>54</v>
      </c>
      <c r="AY13" s="23" t="s">
        <v>55</v>
      </c>
      <c r="BB13" s="90">
        <f>YEAR(G16)</f>
        <v>1900</v>
      </c>
      <c r="BC13" s="89">
        <v>7</v>
      </c>
      <c r="BD13" s="89">
        <v>1</v>
      </c>
      <c r="BE13" s="90">
        <f t="shared" si="0"/>
        <v>1</v>
      </c>
    </row>
    <row r="14" spans="1:58" ht="15.45" customHeight="1" x14ac:dyDescent="0.3">
      <c r="A14" s="98"/>
      <c r="B14" s="53" t="str">
        <f>IF(C14="","",MAX($B$11:B13)+1)</f>
        <v/>
      </c>
      <c r="C14" s="127"/>
      <c r="D14" s="127"/>
      <c r="E14" s="127"/>
      <c r="F14" s="198" t="str">
        <f>IF(MASTER!$D$12="NOTIONAL","कार्यग्रहण तिथि","")</f>
        <v>कार्यग्रहण तिथि</v>
      </c>
      <c r="G14" s="199" t="str">
        <f>IF(MASTER!$D$12="NOTIONAL"," स्थाईकरण तिथि","")</f>
        <v xml:space="preserve"> स्थाईकरण तिथि</v>
      </c>
      <c r="H14" s="198" t="str">
        <f>IF(MASTER!$D$12="NOTIONAL"," पे -लेवल","")</f>
        <v xml:space="preserve"> पे -लेवल</v>
      </c>
      <c r="I14" s="198" t="str">
        <f>IF(MASTER!$D$12="NOTIONAL","वेतन","")</f>
        <v>वेतन</v>
      </c>
      <c r="J14" s="211">
        <f ca="1">IF(AND(J13&lt;DATE(BD6,BE6,BF6),N14="वार्षिक वेतनवृद्धि "),DATE(YEAR(J13)+1,7,1),"")</f>
        <v>44743</v>
      </c>
      <c r="K14" s="212" t="str">
        <f t="shared" ca="1" si="1"/>
        <v>44300-140100</v>
      </c>
      <c r="L14" s="91" t="str">
        <f ca="1">IF(J14="","",IF(N14="वार्षिक वेतनवृद्धि ",L13,"-"))</f>
        <v>L_12</v>
      </c>
      <c r="M14" s="92">
        <f ca="1">IF(J14="","",IF(N14="वार्षिक वेतनवृद्धि ",MROUND(M13*103%,100),""))</f>
        <v>48400</v>
      </c>
      <c r="N14" s="213" t="s">
        <v>291</v>
      </c>
      <c r="O14" s="214" t="str">
        <f ca="1">IF(MASTER!$D$12="NOTIONAL",IF(ORDER!J14&lt;ORDER!$G$15,"नोशनल","वास्तविक"),"")</f>
        <v>वास्तविक</v>
      </c>
      <c r="P14" s="98"/>
      <c r="Q14" s="292"/>
      <c r="R14" s="293"/>
      <c r="S14" s="310" t="s">
        <v>247</v>
      </c>
      <c r="T14" s="311"/>
      <c r="U14" s="311"/>
      <c r="V14" s="311"/>
      <c r="W14" s="312"/>
      <c r="X14" s="23">
        <v>27</v>
      </c>
      <c r="Y14" s="26" t="s">
        <v>63</v>
      </c>
      <c r="AA14" s="27">
        <v>1</v>
      </c>
      <c r="AB14" s="17">
        <v>17700</v>
      </c>
      <c r="AC14" s="17">
        <v>17900</v>
      </c>
      <c r="AD14" s="17">
        <v>18200</v>
      </c>
      <c r="AE14" s="17">
        <v>19200</v>
      </c>
      <c r="AF14" s="17">
        <v>20800</v>
      </c>
      <c r="AG14" s="17">
        <v>21500</v>
      </c>
      <c r="AH14" s="17">
        <v>22400</v>
      </c>
      <c r="AI14" s="17">
        <v>26300</v>
      </c>
      <c r="AJ14" s="17">
        <v>28700</v>
      </c>
      <c r="AK14" s="17">
        <v>33800</v>
      </c>
      <c r="AL14" s="17">
        <v>37800</v>
      </c>
      <c r="AM14" s="17">
        <v>44300</v>
      </c>
      <c r="AN14" s="17">
        <v>53100</v>
      </c>
      <c r="AO14" s="17">
        <v>56100</v>
      </c>
      <c r="AP14" s="17">
        <v>60700</v>
      </c>
      <c r="AQ14" s="17">
        <v>67300</v>
      </c>
      <c r="AR14" s="17">
        <v>71000</v>
      </c>
      <c r="AS14" s="17">
        <v>75300</v>
      </c>
      <c r="AT14" s="17">
        <v>79900</v>
      </c>
      <c r="AU14" s="17">
        <v>88900</v>
      </c>
      <c r="AV14" s="17">
        <v>123100</v>
      </c>
      <c r="AW14" s="17">
        <v>129700</v>
      </c>
      <c r="AX14" s="17">
        <v>145800</v>
      </c>
      <c r="AY14" s="17">
        <v>148800</v>
      </c>
      <c r="BB14" s="90">
        <f>YEAR(G17)</f>
        <v>1900</v>
      </c>
      <c r="BC14" s="89">
        <v>7</v>
      </c>
      <c r="BD14" s="89">
        <v>1</v>
      </c>
      <c r="BE14" s="90">
        <f t="shared" si="0"/>
        <v>1</v>
      </c>
    </row>
    <row r="15" spans="1:58" x14ac:dyDescent="0.3">
      <c r="A15" s="98"/>
      <c r="B15" s="53" t="str">
        <f>IF(C15="","",MAX($B$11:B14)+1)</f>
        <v/>
      </c>
      <c r="C15" s="127"/>
      <c r="D15" s="127"/>
      <c r="E15" s="133"/>
      <c r="F15" s="200">
        <f>IF(MASTER!$D$12="NOTIONAL",IF(MASTER!$D$10="","FILL IN MASTER",MASTER!$D$10),"")</f>
        <v>42917</v>
      </c>
      <c r="G15" s="201">
        <f>IF(MASTER!$D$12="NOTIONAL",IF(MASTER!$D$14="","FILL IN MASTER",MASTER!$D$14),"")</f>
        <v>43647</v>
      </c>
      <c r="H15" s="91" t="str">
        <f ca="1">IF(MASTER!$D$12="NOTIONAL",IF(MASTER!$G$34="YES",MASTER!H35,control!K17),"")</f>
        <v>L_12</v>
      </c>
      <c r="I15" s="202">
        <f ca="1">IF(MASTER!$D$12="NOTIONAL",IF(MASTER!$G$34="YES",MASTER!I35,control!L17),"")</f>
        <v>44300</v>
      </c>
      <c r="J15" s="211">
        <f ca="1">IF(AND(J14&lt;DATE($BD$6,$BE$6,$BF$6),N15="वार्षिक वेतनवृद्धि "),DATE(YEAR(J14)+1,7,1),"")</f>
        <v>45108</v>
      </c>
      <c r="K15" s="212" t="str">
        <f t="shared" ca="1" si="1"/>
        <v>44300-140100</v>
      </c>
      <c r="L15" s="91" t="str">
        <f ca="1">IF(J15="","",IF(N15="वार्षिक वेतनवृद्धि ",L14,"-"))</f>
        <v>L_12</v>
      </c>
      <c r="M15" s="92">
        <f ca="1">IF(J15="","",IF(N15="वार्षिक वेतनवृद्धि ",MROUND(M14*103%,100),""))</f>
        <v>49900</v>
      </c>
      <c r="N15" s="213" t="s">
        <v>291</v>
      </c>
      <c r="O15" s="214" t="str">
        <f ca="1">IF(MASTER!$D$12="NOTIONAL",IF(ORDER!J15&lt;ORDER!$G$15,"नोशनल","वास्तविक"),"")</f>
        <v>वास्तविक</v>
      </c>
      <c r="P15" s="98"/>
      <c r="Q15" s="292"/>
      <c r="R15" s="293"/>
      <c r="S15" s="310"/>
      <c r="T15" s="311"/>
      <c r="U15" s="311"/>
      <c r="V15" s="311"/>
      <c r="W15" s="312"/>
      <c r="X15" s="23">
        <v>30</v>
      </c>
      <c r="Y15" s="26" t="s">
        <v>63</v>
      </c>
      <c r="AA15" s="27">
        <v>2</v>
      </c>
      <c r="AB15" s="17">
        <v>18200</v>
      </c>
      <c r="AC15" s="17">
        <v>18400</v>
      </c>
      <c r="AD15" s="17">
        <v>18700</v>
      </c>
      <c r="AE15" s="17">
        <v>19800</v>
      </c>
      <c r="AF15" s="17">
        <v>21400</v>
      </c>
      <c r="AG15" s="17">
        <v>22100</v>
      </c>
      <c r="AH15" s="17">
        <v>23100</v>
      </c>
      <c r="AI15" s="17">
        <v>27100</v>
      </c>
      <c r="AJ15" s="17">
        <v>29600</v>
      </c>
      <c r="AK15" s="17">
        <v>34800</v>
      </c>
      <c r="AL15" s="17">
        <v>38900</v>
      </c>
      <c r="AM15" s="17">
        <v>45600</v>
      </c>
      <c r="AN15" s="17">
        <v>54700</v>
      </c>
      <c r="AO15" s="17">
        <v>57800</v>
      </c>
      <c r="AP15" s="17">
        <v>62500</v>
      </c>
      <c r="AQ15" s="17">
        <v>69300</v>
      </c>
      <c r="AR15" s="17">
        <v>73100</v>
      </c>
      <c r="AS15" s="17">
        <v>77600</v>
      </c>
      <c r="AT15" s="17">
        <v>82300</v>
      </c>
      <c r="AU15" s="17">
        <v>91600</v>
      </c>
      <c r="AV15" s="17">
        <v>126800</v>
      </c>
      <c r="AW15" s="17">
        <v>133600</v>
      </c>
      <c r="AX15" s="17">
        <v>150200</v>
      </c>
      <c r="AY15" s="17">
        <v>153300</v>
      </c>
      <c r="BB15" s="90">
        <f>YEAR(G18)</f>
        <v>1900</v>
      </c>
      <c r="BC15" s="89">
        <v>7</v>
      </c>
      <c r="BD15" s="89">
        <v>1</v>
      </c>
      <c r="BE15" s="90">
        <f t="shared" si="0"/>
        <v>1</v>
      </c>
    </row>
    <row r="16" spans="1:58" x14ac:dyDescent="0.3">
      <c r="A16" s="98"/>
      <c r="B16" s="43"/>
      <c r="C16" s="44"/>
      <c r="D16" s="44"/>
      <c r="E16" s="44"/>
      <c r="F16" s="44"/>
      <c r="G16" s="44"/>
      <c r="H16" s="44"/>
      <c r="I16" s="44"/>
      <c r="J16" s="211" t="str">
        <f ca="1">IF(AND(J15&lt;DATE($BD$6,$BE$6,$BF$6),N16="वार्षिक वेतनवृद्धि "),DATE(YEAR(J15)+1,7,1),"")</f>
        <v/>
      </c>
      <c r="K16" s="212" t="str">
        <f t="shared" ca="1" si="1"/>
        <v/>
      </c>
      <c r="L16" s="91" t="str">
        <f ca="1">IF(J16="","",IF(N16="वार्षिक वेतनवृद्धि ",L15,"-"))</f>
        <v/>
      </c>
      <c r="M16" s="92" t="str">
        <f ca="1">IF(J16="","",IF(N16="वार्षिक वेतनवृद्धि ",MROUND(M15*103%,100),""))</f>
        <v/>
      </c>
      <c r="N16" s="213" t="s">
        <v>291</v>
      </c>
      <c r="O16" s="214" t="str">
        <f ca="1">IF(MASTER!$D$12="NOTIONAL",IF(ORDER!J16&lt;ORDER!$G$15,"नोशनल","वास्तविक"),"")</f>
        <v>वास्तविक</v>
      </c>
      <c r="P16" s="98"/>
      <c r="S16" s="310"/>
      <c r="T16" s="311"/>
      <c r="U16" s="311"/>
      <c r="V16" s="311"/>
      <c r="W16" s="312"/>
      <c r="AA16" s="27">
        <v>3</v>
      </c>
      <c r="AB16" s="17">
        <v>18700</v>
      </c>
      <c r="AC16" s="17">
        <v>19000</v>
      </c>
      <c r="AD16" s="17">
        <v>19300</v>
      </c>
      <c r="AE16" s="17">
        <v>20400</v>
      </c>
      <c r="AF16" s="17">
        <f>MROUND(AF15*103%,100)</f>
        <v>22000</v>
      </c>
      <c r="AG16" s="17">
        <f t="shared" ref="AG16:AH16" si="2">MROUND(AG15*103%,100)</f>
        <v>22800</v>
      </c>
      <c r="AH16" s="17">
        <f t="shared" si="2"/>
        <v>23800</v>
      </c>
      <c r="AI16" s="17">
        <f>MROUND(AI15*103%,100)</f>
        <v>27900</v>
      </c>
      <c r="AJ16" s="17">
        <f t="shared" ref="AJ16" si="3">MROUND(AJ15*103%,100)</f>
        <v>30500</v>
      </c>
      <c r="AK16" s="17">
        <f t="shared" ref="AK16:AL16" si="4">MROUND(AK15*103%,100)</f>
        <v>35800</v>
      </c>
      <c r="AL16" s="17">
        <f t="shared" si="4"/>
        <v>40100</v>
      </c>
      <c r="AM16" s="17">
        <f t="shared" ref="AM16" si="5">MROUND(AM15*103%,100)</f>
        <v>47000</v>
      </c>
      <c r="AN16" s="17">
        <f t="shared" ref="AN16:AO16" si="6">MROUND(AN15*103%,100)</f>
        <v>56300</v>
      </c>
      <c r="AO16" s="17">
        <f t="shared" si="6"/>
        <v>59500</v>
      </c>
      <c r="AP16" s="17">
        <f t="shared" ref="AP16" si="7">MROUND(AP15*103%,100)</f>
        <v>64400</v>
      </c>
      <c r="AQ16" s="17">
        <f t="shared" ref="AQ16:AR16" si="8">MROUND(AQ15*103%,100)</f>
        <v>71400</v>
      </c>
      <c r="AR16" s="17">
        <f t="shared" si="8"/>
        <v>75300</v>
      </c>
      <c r="AS16" s="17">
        <f t="shared" ref="AS16" si="9">MROUND(AS15*103%,100)</f>
        <v>79900</v>
      </c>
      <c r="AT16" s="17">
        <f t="shared" ref="AT16:AU16" si="10">MROUND(AT15*103%,100)</f>
        <v>84800</v>
      </c>
      <c r="AU16" s="17">
        <f t="shared" si="10"/>
        <v>94300</v>
      </c>
      <c r="AV16" s="17">
        <f t="shared" ref="AV16" si="11">MROUND(AV15*103%,100)</f>
        <v>130600</v>
      </c>
      <c r="AW16" s="17">
        <f t="shared" ref="AW16:AX16" si="12">MROUND(AW15*103%,100)</f>
        <v>137600</v>
      </c>
      <c r="AX16" s="17">
        <f t="shared" si="12"/>
        <v>154700</v>
      </c>
      <c r="AY16" s="17">
        <f t="shared" ref="AY16" si="13">MROUND(AY15*103%,100)</f>
        <v>157900</v>
      </c>
    </row>
    <row r="17" spans="1:51" x14ac:dyDescent="0.3">
      <c r="A17" s="98"/>
      <c r="L17" s="46"/>
      <c r="M17" s="38"/>
      <c r="P17" s="98"/>
      <c r="S17" s="327" t="s">
        <v>292</v>
      </c>
      <c r="T17" s="328"/>
      <c r="U17" s="328"/>
      <c r="V17" s="328"/>
      <c r="W17" s="329"/>
      <c r="AA17" s="27">
        <v>4</v>
      </c>
      <c r="AB17" s="17">
        <v>19300</v>
      </c>
      <c r="AC17" s="17">
        <v>19600</v>
      </c>
      <c r="AD17" s="17">
        <v>19900</v>
      </c>
      <c r="AE17" s="17">
        <v>21000</v>
      </c>
      <c r="AF17" s="17">
        <v>22700</v>
      </c>
      <c r="AG17" s="17">
        <v>23500</v>
      </c>
      <c r="AH17" s="17">
        <v>24500</v>
      </c>
      <c r="AI17" s="17">
        <v>28700</v>
      </c>
      <c r="AJ17" s="17">
        <v>31400</v>
      </c>
      <c r="AK17" s="17">
        <v>36900</v>
      </c>
      <c r="AL17" s="17">
        <v>41300</v>
      </c>
      <c r="AM17" s="17">
        <v>48400</v>
      </c>
      <c r="AN17" s="17">
        <v>58000</v>
      </c>
      <c r="AO17" s="17">
        <v>61300</v>
      </c>
      <c r="AP17" s="17">
        <v>66300</v>
      </c>
      <c r="AQ17" s="17">
        <v>73500</v>
      </c>
      <c r="AR17" s="17">
        <v>77600</v>
      </c>
      <c r="AS17" s="17">
        <v>82300</v>
      </c>
      <c r="AT17" s="17">
        <v>87300</v>
      </c>
      <c r="AU17" s="17">
        <v>97100</v>
      </c>
      <c r="AV17" s="17">
        <v>134500</v>
      </c>
      <c r="AW17" s="17">
        <v>141700</v>
      </c>
      <c r="AX17" s="17">
        <v>159300</v>
      </c>
      <c r="AY17" s="17">
        <v>162600</v>
      </c>
    </row>
    <row r="18" spans="1:51" ht="15" thickBot="1" x14ac:dyDescent="0.35">
      <c r="A18" s="98"/>
      <c r="F18" s="222">
        <f>MROUND(I11*1.03,100)</f>
        <v>47900</v>
      </c>
      <c r="K18" s="188" t="str">
        <f>MASTER!M29</f>
        <v xml:space="preserve">प्रधानाचार्य </v>
      </c>
      <c r="L18" s="38"/>
      <c r="M18" s="39"/>
      <c r="P18" s="98"/>
      <c r="S18" s="337"/>
      <c r="T18" s="338"/>
      <c r="U18" s="338"/>
      <c r="V18" s="338"/>
      <c r="W18" s="339"/>
      <c r="AA18" s="27">
        <v>5</v>
      </c>
      <c r="AB18" s="17">
        <v>19900</v>
      </c>
      <c r="AC18" s="17">
        <v>20200</v>
      </c>
      <c r="AD18" s="17">
        <v>20500</v>
      </c>
      <c r="AE18" s="17">
        <v>21600</v>
      </c>
      <c r="AF18" s="17">
        <v>23400</v>
      </c>
      <c r="AG18" s="17">
        <v>24200</v>
      </c>
      <c r="AH18" s="17">
        <v>25200</v>
      </c>
      <c r="AI18" s="17">
        <v>29600</v>
      </c>
      <c r="AJ18" s="17">
        <v>32300</v>
      </c>
      <c r="AK18" s="17">
        <v>38000</v>
      </c>
      <c r="AL18" s="17">
        <v>42500</v>
      </c>
      <c r="AM18" s="17">
        <v>49900</v>
      </c>
      <c r="AN18" s="17">
        <v>59700</v>
      </c>
      <c r="AO18" s="17">
        <v>63100</v>
      </c>
      <c r="AP18" s="17">
        <v>68300</v>
      </c>
      <c r="AQ18" s="17">
        <v>75700</v>
      </c>
      <c r="AR18" s="17">
        <v>79900</v>
      </c>
      <c r="AS18" s="17">
        <v>84800</v>
      </c>
      <c r="AT18" s="17">
        <v>89900</v>
      </c>
      <c r="AU18" s="17">
        <v>100000</v>
      </c>
      <c r="AV18" s="17">
        <v>138500</v>
      </c>
      <c r="AW18" s="17">
        <v>146000</v>
      </c>
      <c r="AX18" s="17">
        <v>164100</v>
      </c>
      <c r="AY18" s="17">
        <v>167500</v>
      </c>
    </row>
    <row r="19" spans="1:51" ht="15" thickBot="1" x14ac:dyDescent="0.35">
      <c r="A19" s="98"/>
      <c r="F19" s="222">
        <f>SMALL('7th pay chart'!M6:M45,COUNTIF('7th pay chart'!M6:M45,"&lt;"&amp;ORDER!F18)+1)</f>
        <v>48400</v>
      </c>
      <c r="K19" s="189" t="str">
        <f>MASTER!M30</f>
        <v xml:space="preserve">राजकीय उच्च माध्यमिक विद्यालय </v>
      </c>
      <c r="L19" s="39"/>
      <c r="M19" s="38"/>
      <c r="P19" s="98"/>
      <c r="AA19" s="27">
        <v>6</v>
      </c>
      <c r="AB19" s="17">
        <v>20500</v>
      </c>
      <c r="AC19" s="17">
        <v>20800</v>
      </c>
      <c r="AD19" s="17">
        <v>21100</v>
      </c>
      <c r="AE19" s="17">
        <v>22200</v>
      </c>
      <c r="AF19" s="17">
        <v>24100</v>
      </c>
      <c r="AG19" s="17">
        <v>24900</v>
      </c>
      <c r="AH19" s="17">
        <v>26000</v>
      </c>
      <c r="AI19" s="17">
        <v>30500</v>
      </c>
      <c r="AJ19" s="17">
        <v>33300</v>
      </c>
      <c r="AK19" s="17">
        <v>39100</v>
      </c>
      <c r="AL19" s="17">
        <v>43800</v>
      </c>
      <c r="AM19" s="17">
        <v>51400</v>
      </c>
      <c r="AN19" s="17">
        <v>61500</v>
      </c>
      <c r="AO19" s="17">
        <v>65000</v>
      </c>
      <c r="AP19" s="17">
        <v>70300</v>
      </c>
      <c r="AQ19" s="17">
        <v>78000</v>
      </c>
      <c r="AR19" s="17">
        <v>82300</v>
      </c>
      <c r="AS19" s="17">
        <v>87300</v>
      </c>
      <c r="AT19" s="17">
        <v>92600</v>
      </c>
      <c r="AU19" s="17">
        <v>103000</v>
      </c>
      <c r="AV19" s="17">
        <v>142700</v>
      </c>
      <c r="AW19" s="17">
        <v>150400</v>
      </c>
      <c r="AX19" s="17">
        <v>169000</v>
      </c>
      <c r="AY19" s="17">
        <v>172500</v>
      </c>
    </row>
    <row r="20" spans="1:51" ht="13.05" customHeight="1" x14ac:dyDescent="0.3">
      <c r="A20" s="98"/>
      <c r="B20" s="227" t="s">
        <v>1</v>
      </c>
      <c r="C20" s="227"/>
      <c r="D20" s="29"/>
      <c r="E20" s="29"/>
      <c r="F20" s="29"/>
      <c r="G20" s="29"/>
      <c r="H20" s="29"/>
      <c r="I20" s="29"/>
      <c r="J20" s="29"/>
      <c r="K20" s="188" t="str">
        <f>MASTER!M31</f>
        <v xml:space="preserve">राजपुरा पिपेरण श्रीगंगानगर </v>
      </c>
      <c r="L20" s="38"/>
      <c r="M20" s="29"/>
      <c r="P20" s="98"/>
      <c r="S20" s="334" t="s">
        <v>248</v>
      </c>
      <c r="T20" s="335"/>
      <c r="U20" s="335"/>
      <c r="V20" s="335"/>
      <c r="W20" s="336"/>
      <c r="AA20" s="27">
        <v>7</v>
      </c>
      <c r="AB20" s="17">
        <v>21100</v>
      </c>
      <c r="AC20" s="17">
        <v>21400</v>
      </c>
      <c r="AD20" s="17">
        <v>21700</v>
      </c>
      <c r="AE20" s="17">
        <v>22900</v>
      </c>
      <c r="AF20" s="17">
        <v>24800</v>
      </c>
      <c r="AG20" s="17">
        <v>25600</v>
      </c>
      <c r="AH20" s="17">
        <v>26800</v>
      </c>
      <c r="AI20" s="17">
        <v>31400</v>
      </c>
      <c r="AJ20" s="17">
        <v>34300</v>
      </c>
      <c r="AK20" s="17">
        <v>40300</v>
      </c>
      <c r="AL20" s="17">
        <v>45100</v>
      </c>
      <c r="AM20" s="17">
        <v>52900</v>
      </c>
      <c r="AN20" s="17">
        <v>63300</v>
      </c>
      <c r="AO20" s="17">
        <v>67000</v>
      </c>
      <c r="AP20" s="17">
        <v>72400</v>
      </c>
      <c r="AQ20" s="17">
        <v>80300</v>
      </c>
      <c r="AR20" s="17">
        <v>84800</v>
      </c>
      <c r="AS20" s="17">
        <v>89900</v>
      </c>
      <c r="AT20" s="17">
        <v>95400</v>
      </c>
      <c r="AU20" s="17">
        <v>106100</v>
      </c>
      <c r="AV20" s="17">
        <v>147000</v>
      </c>
      <c r="AW20" s="17">
        <v>154900</v>
      </c>
      <c r="AX20" s="17">
        <v>174100</v>
      </c>
      <c r="AY20" s="17">
        <v>177700</v>
      </c>
    </row>
    <row r="21" spans="1:51" ht="15.6" x14ac:dyDescent="0.3">
      <c r="A21" s="98"/>
      <c r="B21" s="31" t="s">
        <v>3</v>
      </c>
      <c r="C21" s="29"/>
      <c r="D21" s="29"/>
      <c r="E21" s="29"/>
      <c r="F21" s="29"/>
      <c r="G21" s="29"/>
      <c r="H21" s="29"/>
      <c r="I21" s="29"/>
      <c r="J21" s="29"/>
      <c r="K21" s="42"/>
      <c r="L21" s="30" t="s">
        <v>2</v>
      </c>
      <c r="M21" s="29"/>
      <c r="P21" s="98"/>
      <c r="S21" s="307" t="s">
        <v>250</v>
      </c>
      <c r="T21" s="308"/>
      <c r="U21" s="308"/>
      <c r="V21" s="308"/>
      <c r="W21" s="309"/>
      <c r="AA21" s="27">
        <v>8</v>
      </c>
      <c r="AB21" s="17">
        <v>21700</v>
      </c>
      <c r="AC21" s="17">
        <v>22000</v>
      </c>
      <c r="AD21" s="17">
        <v>22400</v>
      </c>
      <c r="AE21" s="17">
        <v>23600</v>
      </c>
      <c r="AF21" s="17">
        <v>25500</v>
      </c>
      <c r="AG21" s="17">
        <v>26400</v>
      </c>
      <c r="AH21" s="17">
        <v>27600</v>
      </c>
      <c r="AI21" s="17">
        <v>32300</v>
      </c>
      <c r="AJ21" s="17">
        <v>35300</v>
      </c>
      <c r="AK21" s="17">
        <v>41500</v>
      </c>
      <c r="AL21" s="17">
        <v>46500</v>
      </c>
      <c r="AM21" s="17">
        <v>54500</v>
      </c>
      <c r="AN21" s="17">
        <v>65200</v>
      </c>
      <c r="AO21" s="17">
        <v>69000</v>
      </c>
      <c r="AP21" s="17">
        <v>74600</v>
      </c>
      <c r="AQ21" s="17">
        <v>82700</v>
      </c>
      <c r="AR21" s="17">
        <v>87300</v>
      </c>
      <c r="AS21" s="17">
        <v>92600</v>
      </c>
      <c r="AT21" s="17">
        <v>98300</v>
      </c>
      <c r="AU21" s="17">
        <v>109300</v>
      </c>
      <c r="AV21" s="17">
        <v>151400</v>
      </c>
      <c r="AW21" s="17">
        <v>159500</v>
      </c>
      <c r="AX21" s="17">
        <v>179300</v>
      </c>
      <c r="AY21" s="17">
        <v>183000</v>
      </c>
    </row>
    <row r="22" spans="1:51" ht="15.45" customHeight="1" x14ac:dyDescent="0.3">
      <c r="A22" s="98"/>
      <c r="B22" s="139">
        <v>1</v>
      </c>
      <c r="C22" s="203" t="str">
        <f>MASTER!D20&amp;" "&amp;MASTER!D22</f>
        <v xml:space="preserve">श्रीमान संयुक्त निदेशक संयुक्त निदेशक स्कूल शिक्षा ,बीकानेर संभाग,बीकानेर </v>
      </c>
      <c r="D22" s="29"/>
      <c r="L22" s="29"/>
      <c r="P22" s="98"/>
      <c r="S22" s="304" t="s">
        <v>249</v>
      </c>
      <c r="T22" s="305"/>
      <c r="U22" s="305"/>
      <c r="V22" s="305"/>
      <c r="W22" s="306"/>
      <c r="AA22" s="27">
        <v>9</v>
      </c>
      <c r="AB22" s="17">
        <v>22400</v>
      </c>
      <c r="AC22" s="17">
        <v>22700</v>
      </c>
      <c r="AD22" s="17">
        <v>23100</v>
      </c>
      <c r="AE22" s="17">
        <v>24300</v>
      </c>
      <c r="AF22" s="17">
        <v>26300</v>
      </c>
      <c r="AG22" s="17">
        <v>27200</v>
      </c>
      <c r="AH22" s="17">
        <v>28400</v>
      </c>
      <c r="AI22" s="17">
        <v>33300</v>
      </c>
      <c r="AJ22" s="17">
        <v>36400</v>
      </c>
      <c r="AK22" s="17">
        <v>42700</v>
      </c>
      <c r="AL22" s="17">
        <v>47900</v>
      </c>
      <c r="AM22" s="17">
        <v>56100</v>
      </c>
      <c r="AN22" s="17">
        <v>67200</v>
      </c>
      <c r="AO22" s="17">
        <v>71100</v>
      </c>
      <c r="AP22" s="17">
        <v>76800</v>
      </c>
      <c r="AQ22" s="17">
        <v>85200</v>
      </c>
      <c r="AR22" s="17">
        <v>89900</v>
      </c>
      <c r="AS22" s="17">
        <v>95400</v>
      </c>
      <c r="AT22" s="17">
        <v>101200</v>
      </c>
      <c r="AU22" s="17">
        <v>112600</v>
      </c>
      <c r="AV22" s="17">
        <v>155900</v>
      </c>
      <c r="AW22" s="17">
        <v>164300</v>
      </c>
      <c r="AX22" s="17">
        <v>184700</v>
      </c>
      <c r="AY22" s="17">
        <v>188500</v>
      </c>
    </row>
    <row r="23" spans="1:51" ht="15.6" x14ac:dyDescent="0.3">
      <c r="A23" s="98"/>
      <c r="B23" s="139">
        <v>2</v>
      </c>
      <c r="C23" s="138" t="s">
        <v>256</v>
      </c>
      <c r="D23" s="29"/>
      <c r="P23" s="98"/>
      <c r="S23" s="304"/>
      <c r="T23" s="305"/>
      <c r="U23" s="305"/>
      <c r="V23" s="305"/>
      <c r="W23" s="306"/>
      <c r="AA23" s="27">
        <v>10</v>
      </c>
      <c r="AB23" s="17">
        <v>23100</v>
      </c>
      <c r="AC23" s="17">
        <v>23400</v>
      </c>
      <c r="AD23" s="17">
        <v>23800</v>
      </c>
      <c r="AE23" s="17">
        <v>25000</v>
      </c>
      <c r="AF23" s="17">
        <v>27100</v>
      </c>
      <c r="AG23" s="17">
        <v>28000</v>
      </c>
      <c r="AH23" s="17">
        <v>29300</v>
      </c>
      <c r="AI23" s="17">
        <v>34300</v>
      </c>
      <c r="AJ23" s="17">
        <v>37500</v>
      </c>
      <c r="AK23" s="17">
        <v>44000</v>
      </c>
      <c r="AL23" s="17">
        <v>49300</v>
      </c>
      <c r="AM23" s="17">
        <v>57800</v>
      </c>
      <c r="AN23" s="17">
        <v>69200</v>
      </c>
      <c r="AO23" s="17">
        <v>73200</v>
      </c>
      <c r="AP23" s="17">
        <v>79100</v>
      </c>
      <c r="AQ23" s="17">
        <v>87800</v>
      </c>
      <c r="AR23" s="17">
        <v>92600</v>
      </c>
      <c r="AS23" s="17">
        <v>98300</v>
      </c>
      <c r="AT23" s="17">
        <v>104200</v>
      </c>
      <c r="AU23" s="17">
        <v>116000</v>
      </c>
      <c r="AV23" s="17">
        <v>160600</v>
      </c>
      <c r="AW23" s="17">
        <v>169200</v>
      </c>
      <c r="AX23" s="17">
        <v>190200</v>
      </c>
      <c r="AY23" s="17">
        <v>194200</v>
      </c>
    </row>
    <row r="24" spans="1:51" ht="15.6" x14ac:dyDescent="0.3">
      <c r="A24" s="98"/>
      <c r="B24" s="139">
        <v>3</v>
      </c>
      <c r="C24" s="138" t="s">
        <v>257</v>
      </c>
      <c r="D24" s="29"/>
      <c r="P24" s="98"/>
      <c r="S24" s="304"/>
      <c r="T24" s="305"/>
      <c r="U24" s="305"/>
      <c r="V24" s="305"/>
      <c r="W24" s="306"/>
      <c r="AA24" s="27">
        <v>11</v>
      </c>
      <c r="AB24" s="17">
        <v>23800</v>
      </c>
      <c r="AC24" s="17">
        <v>24100</v>
      </c>
      <c r="AD24" s="17">
        <v>24500</v>
      </c>
      <c r="AE24" s="17">
        <v>25800</v>
      </c>
      <c r="AF24" s="17">
        <v>27900</v>
      </c>
      <c r="AG24" s="17">
        <v>28800</v>
      </c>
      <c r="AH24" s="17">
        <v>30200</v>
      </c>
      <c r="AI24" s="17">
        <v>35300</v>
      </c>
      <c r="AJ24" s="17">
        <v>38600</v>
      </c>
      <c r="AK24" s="17">
        <v>45300</v>
      </c>
      <c r="AL24" s="17">
        <v>50800</v>
      </c>
      <c r="AM24" s="17">
        <v>59500</v>
      </c>
      <c r="AN24" s="17">
        <v>71300</v>
      </c>
      <c r="AO24" s="17">
        <v>75400</v>
      </c>
      <c r="AP24" s="17">
        <v>81500</v>
      </c>
      <c r="AQ24" s="17">
        <v>90400</v>
      </c>
      <c r="AR24" s="17">
        <v>95400</v>
      </c>
      <c r="AS24" s="17">
        <v>101200</v>
      </c>
      <c r="AT24" s="17">
        <v>107300</v>
      </c>
      <c r="AU24" s="17">
        <v>119500</v>
      </c>
      <c r="AV24" s="17">
        <v>165400</v>
      </c>
      <c r="AW24" s="17">
        <v>174300</v>
      </c>
      <c r="AX24" s="17">
        <v>195900</v>
      </c>
      <c r="AY24" s="17">
        <v>200000</v>
      </c>
    </row>
    <row r="25" spans="1:51" ht="15.6" x14ac:dyDescent="0.3">
      <c r="A25" s="98"/>
      <c r="B25" s="139">
        <v>4</v>
      </c>
      <c r="C25" s="138" t="s">
        <v>258</v>
      </c>
      <c r="D25" s="29"/>
      <c r="P25" s="98"/>
      <c r="S25" s="321" t="s">
        <v>292</v>
      </c>
      <c r="T25" s="322"/>
      <c r="U25" s="322"/>
      <c r="V25" s="322"/>
      <c r="W25" s="323"/>
      <c r="AA25" s="27">
        <v>12</v>
      </c>
      <c r="AB25" s="17">
        <v>24500</v>
      </c>
      <c r="AC25" s="17">
        <v>24800</v>
      </c>
      <c r="AD25" s="17">
        <v>25200</v>
      </c>
      <c r="AE25" s="17">
        <v>26600</v>
      </c>
      <c r="AF25" s="17">
        <v>28700</v>
      </c>
      <c r="AG25" s="17">
        <v>29700</v>
      </c>
      <c r="AH25" s="17">
        <v>31100</v>
      </c>
      <c r="AI25" s="17">
        <v>36400</v>
      </c>
      <c r="AJ25" s="17">
        <v>39800</v>
      </c>
      <c r="AK25" s="17">
        <v>46700</v>
      </c>
      <c r="AL25" s="17">
        <v>52300</v>
      </c>
      <c r="AM25" s="17">
        <v>61300</v>
      </c>
      <c r="AN25" s="17">
        <v>73400</v>
      </c>
      <c r="AO25" s="17">
        <v>77700</v>
      </c>
      <c r="AP25" s="17">
        <v>83900</v>
      </c>
      <c r="AQ25" s="17">
        <v>93100</v>
      </c>
      <c r="AR25" s="17">
        <v>98300</v>
      </c>
      <c r="AS25" s="17">
        <v>104200</v>
      </c>
      <c r="AT25" s="17">
        <v>110500</v>
      </c>
      <c r="AU25" s="17">
        <v>123100</v>
      </c>
      <c r="AV25" s="17">
        <v>170400</v>
      </c>
      <c r="AW25" s="17">
        <v>179500</v>
      </c>
      <c r="AX25" s="17">
        <v>201800</v>
      </c>
      <c r="AY25" s="17">
        <v>206000</v>
      </c>
    </row>
    <row r="26" spans="1:51" ht="16.2" thickBot="1" x14ac:dyDescent="0.35">
      <c r="A26" s="98"/>
      <c r="B26" s="139">
        <v>5</v>
      </c>
      <c r="C26" s="138" t="s">
        <v>259</v>
      </c>
      <c r="D26" s="29"/>
      <c r="P26" s="98"/>
      <c r="S26" s="324"/>
      <c r="T26" s="325"/>
      <c r="U26" s="325"/>
      <c r="V26" s="325"/>
      <c r="W26" s="326"/>
      <c r="AA26" s="27">
        <v>13</v>
      </c>
      <c r="AB26" s="17">
        <v>25200</v>
      </c>
      <c r="AC26" s="17">
        <v>25500</v>
      </c>
      <c r="AD26" s="17">
        <v>26000</v>
      </c>
      <c r="AE26" s="17">
        <v>27400</v>
      </c>
      <c r="AF26" s="17">
        <v>29600</v>
      </c>
      <c r="AG26" s="17">
        <v>30600</v>
      </c>
      <c r="AH26" s="17">
        <v>32000</v>
      </c>
      <c r="AI26" s="17">
        <v>37500</v>
      </c>
      <c r="AJ26" s="17">
        <v>41000</v>
      </c>
      <c r="AK26" s="17">
        <v>48100</v>
      </c>
      <c r="AL26" s="17">
        <v>53900</v>
      </c>
      <c r="AM26" s="17">
        <v>63100</v>
      </c>
      <c r="AN26" s="17">
        <v>75600</v>
      </c>
      <c r="AO26" s="17">
        <v>80000</v>
      </c>
      <c r="AP26" s="17">
        <v>86400</v>
      </c>
      <c r="AQ26" s="17">
        <v>95900</v>
      </c>
      <c r="AR26" s="17">
        <v>101200</v>
      </c>
      <c r="AS26" s="17">
        <v>107300</v>
      </c>
      <c r="AT26" s="17">
        <v>113800</v>
      </c>
      <c r="AU26" s="17">
        <v>126800</v>
      </c>
      <c r="AV26" s="17">
        <v>175500</v>
      </c>
      <c r="AW26" s="17">
        <v>184900</v>
      </c>
      <c r="AX26" s="17">
        <v>207900</v>
      </c>
      <c r="AY26" s="17">
        <v>212200</v>
      </c>
    </row>
    <row r="27" spans="1:51" ht="16.2" thickBot="1" x14ac:dyDescent="0.35">
      <c r="A27" s="98"/>
      <c r="B27" s="139">
        <v>6</v>
      </c>
      <c r="C27" s="138" t="s">
        <v>260</v>
      </c>
      <c r="D27" s="29"/>
      <c r="K27" s="190" t="str">
        <f>MASTER!M29</f>
        <v xml:space="preserve">प्रधानाचार्य </v>
      </c>
      <c r="M27" s="37"/>
      <c r="P27" s="98"/>
      <c r="AA27" s="27">
        <v>14</v>
      </c>
      <c r="AB27" s="17">
        <v>26000</v>
      </c>
      <c r="AC27" s="17">
        <v>26300</v>
      </c>
      <c r="AD27" s="17">
        <v>26800</v>
      </c>
      <c r="AE27" s="17">
        <v>28200</v>
      </c>
      <c r="AF27" s="17">
        <v>30500</v>
      </c>
      <c r="AG27" s="17">
        <v>31500</v>
      </c>
      <c r="AH27" s="17">
        <v>33000</v>
      </c>
      <c r="AI27" s="17">
        <v>38600</v>
      </c>
      <c r="AJ27" s="17">
        <v>42200</v>
      </c>
      <c r="AK27" s="17">
        <v>49500</v>
      </c>
      <c r="AL27" s="17">
        <v>55500</v>
      </c>
      <c r="AM27" s="17">
        <v>65000</v>
      </c>
      <c r="AN27" s="17">
        <v>77900</v>
      </c>
      <c r="AO27" s="17">
        <v>82400</v>
      </c>
      <c r="AP27" s="17">
        <v>89000</v>
      </c>
      <c r="AQ27" s="17">
        <v>98800</v>
      </c>
      <c r="AR27" s="17">
        <v>104200</v>
      </c>
      <c r="AS27" s="17">
        <v>110500</v>
      </c>
      <c r="AT27" s="17">
        <v>117200</v>
      </c>
      <c r="AU27" s="17">
        <v>130600</v>
      </c>
      <c r="AV27" s="17">
        <v>180800</v>
      </c>
      <c r="AW27" s="17">
        <v>190400</v>
      </c>
      <c r="AX27" s="17">
        <v>214100</v>
      </c>
      <c r="AY27" s="17">
        <v>218600</v>
      </c>
    </row>
    <row r="28" spans="1:51" x14ac:dyDescent="0.3">
      <c r="A28" s="98"/>
      <c r="B28" s="1"/>
      <c r="C28" s="1"/>
      <c r="K28" s="191" t="str">
        <f>MASTER!M30</f>
        <v xml:space="preserve">राजकीय उच्च माध्यमिक विद्यालय </v>
      </c>
      <c r="L28" s="37"/>
      <c r="M28" s="40"/>
      <c r="P28" s="98"/>
      <c r="S28" s="334" t="s">
        <v>251</v>
      </c>
      <c r="T28" s="335"/>
      <c r="U28" s="335"/>
      <c r="V28" s="335"/>
      <c r="W28" s="336"/>
      <c r="AA28" s="27">
        <v>15</v>
      </c>
      <c r="AB28" s="17">
        <v>26800</v>
      </c>
      <c r="AC28" s="17">
        <v>27100</v>
      </c>
      <c r="AD28" s="17">
        <v>27600</v>
      </c>
      <c r="AE28" s="17">
        <v>29000</v>
      </c>
      <c r="AF28" s="17">
        <v>31400</v>
      </c>
      <c r="AG28" s="17">
        <v>32400</v>
      </c>
      <c r="AH28" s="17">
        <v>34000</v>
      </c>
      <c r="AI28" s="17">
        <v>39800</v>
      </c>
      <c r="AJ28" s="17">
        <v>43500</v>
      </c>
      <c r="AK28" s="17">
        <v>51000</v>
      </c>
      <c r="AL28" s="17">
        <v>57200</v>
      </c>
      <c r="AM28" s="17">
        <v>67000</v>
      </c>
      <c r="AN28" s="17">
        <v>80200</v>
      </c>
      <c r="AO28" s="17">
        <v>84900</v>
      </c>
      <c r="AP28" s="17">
        <v>91700</v>
      </c>
      <c r="AQ28" s="17">
        <v>101800</v>
      </c>
      <c r="AR28" s="17">
        <v>107300</v>
      </c>
      <c r="AS28" s="17">
        <v>113800</v>
      </c>
      <c r="AT28" s="17">
        <v>120700</v>
      </c>
      <c r="AU28" s="17">
        <v>134500</v>
      </c>
      <c r="AV28" s="17">
        <v>186200</v>
      </c>
      <c r="AW28" s="17">
        <v>196100</v>
      </c>
      <c r="AX28" s="19"/>
      <c r="AY28" s="19"/>
    </row>
    <row r="29" spans="1:51" ht="18" customHeight="1" x14ac:dyDescent="0.3">
      <c r="A29" s="98"/>
      <c r="B29" s="1"/>
      <c r="C29" s="1"/>
      <c r="K29" s="190" t="str">
        <f>MASTER!M31</f>
        <v xml:space="preserve">राजपुरा पिपेरण श्रीगंगानगर </v>
      </c>
      <c r="L29" s="40"/>
      <c r="M29" s="37"/>
      <c r="P29" s="98"/>
      <c r="S29" s="307" t="s">
        <v>250</v>
      </c>
      <c r="T29" s="308"/>
      <c r="U29" s="308"/>
      <c r="V29" s="308"/>
      <c r="W29" s="309"/>
      <c r="AA29" s="27">
        <v>16</v>
      </c>
      <c r="AB29" s="17">
        <v>27600</v>
      </c>
      <c r="AC29" s="17">
        <v>27900</v>
      </c>
      <c r="AD29" s="17">
        <v>28400</v>
      </c>
      <c r="AE29" s="17">
        <v>29900</v>
      </c>
      <c r="AF29" s="17">
        <v>32300</v>
      </c>
      <c r="AG29" s="17">
        <v>33400</v>
      </c>
      <c r="AH29" s="17">
        <v>35000</v>
      </c>
      <c r="AI29" s="17">
        <v>41000</v>
      </c>
      <c r="AJ29" s="17">
        <v>44800</v>
      </c>
      <c r="AK29" s="17">
        <v>52500</v>
      </c>
      <c r="AL29" s="17">
        <v>58900</v>
      </c>
      <c r="AM29" s="17">
        <v>69000</v>
      </c>
      <c r="AN29" s="17">
        <v>82600</v>
      </c>
      <c r="AO29" s="17">
        <v>87400</v>
      </c>
      <c r="AP29" s="17">
        <v>94500</v>
      </c>
      <c r="AQ29" s="17">
        <v>104900</v>
      </c>
      <c r="AR29" s="17">
        <v>110500</v>
      </c>
      <c r="AS29" s="17">
        <v>117200</v>
      </c>
      <c r="AT29" s="17">
        <v>124300</v>
      </c>
      <c r="AU29" s="17">
        <v>138500</v>
      </c>
      <c r="AV29" s="17">
        <v>191800</v>
      </c>
      <c r="AW29" s="17">
        <v>202000</v>
      </c>
      <c r="AX29" s="19"/>
      <c r="AY29" s="19"/>
    </row>
    <row r="30" spans="1:51" ht="29.55" customHeight="1" x14ac:dyDescent="0.3">
      <c r="A30" s="98"/>
      <c r="B30" s="98"/>
      <c r="C30" s="98"/>
      <c r="D30" s="98"/>
      <c r="E30" s="98"/>
      <c r="F30" s="98"/>
      <c r="G30" s="98"/>
      <c r="H30" s="98"/>
      <c r="I30" s="98"/>
      <c r="J30" s="98"/>
      <c r="K30" s="98"/>
      <c r="L30" s="98"/>
      <c r="M30" s="98"/>
      <c r="N30" s="98"/>
      <c r="O30" s="98"/>
      <c r="P30" s="98"/>
      <c r="S30" s="327" t="s">
        <v>252</v>
      </c>
      <c r="T30" s="328"/>
      <c r="U30" s="328"/>
      <c r="V30" s="328"/>
      <c r="W30" s="329"/>
      <c r="X30" s="21"/>
      <c r="AA30" s="27">
        <v>17</v>
      </c>
      <c r="AB30" s="17">
        <v>28400</v>
      </c>
      <c r="AC30" s="17">
        <v>28700</v>
      </c>
      <c r="AD30" s="17">
        <v>29300</v>
      </c>
      <c r="AE30" s="17">
        <v>30800</v>
      </c>
      <c r="AF30" s="17">
        <v>33300</v>
      </c>
      <c r="AG30" s="17">
        <v>34400</v>
      </c>
      <c r="AH30" s="17">
        <v>36100</v>
      </c>
      <c r="AI30" s="17">
        <v>42200</v>
      </c>
      <c r="AJ30" s="17">
        <v>46100</v>
      </c>
      <c r="AK30" s="17">
        <v>54100</v>
      </c>
      <c r="AL30" s="17">
        <v>60700</v>
      </c>
      <c r="AM30" s="17">
        <v>71100</v>
      </c>
      <c r="AN30" s="17">
        <v>85100</v>
      </c>
      <c r="AO30" s="17">
        <v>90000</v>
      </c>
      <c r="AP30" s="17">
        <v>97300</v>
      </c>
      <c r="AQ30" s="17">
        <v>108000</v>
      </c>
      <c r="AR30" s="17">
        <v>113800</v>
      </c>
      <c r="AS30" s="17">
        <v>120700</v>
      </c>
      <c r="AT30" s="17">
        <v>128000</v>
      </c>
      <c r="AU30" s="17">
        <v>142700</v>
      </c>
      <c r="AV30" s="17">
        <v>197600</v>
      </c>
      <c r="AW30" s="17">
        <v>208100</v>
      </c>
      <c r="AX30" s="19"/>
      <c r="AY30" s="19"/>
    </row>
    <row r="31" spans="1:51" x14ac:dyDescent="0.3">
      <c r="K31" s="23"/>
      <c r="S31" s="327"/>
      <c r="T31" s="328"/>
      <c r="U31" s="328"/>
      <c r="V31" s="328"/>
      <c r="W31" s="329"/>
      <c r="X31" s="34"/>
      <c r="AA31" s="27">
        <v>18</v>
      </c>
      <c r="AB31" s="17">
        <v>29300</v>
      </c>
      <c r="AC31" s="17">
        <v>29600</v>
      </c>
      <c r="AD31" s="17">
        <v>30200</v>
      </c>
      <c r="AE31" s="17">
        <v>31700</v>
      </c>
      <c r="AF31" s="17">
        <v>34300</v>
      </c>
      <c r="AG31" s="17">
        <v>35400</v>
      </c>
      <c r="AH31" s="17">
        <v>37200</v>
      </c>
      <c r="AI31" s="17">
        <v>43500</v>
      </c>
      <c r="AJ31" s="17">
        <v>47500</v>
      </c>
      <c r="AK31" s="17">
        <v>55700</v>
      </c>
      <c r="AL31" s="17">
        <v>62500</v>
      </c>
      <c r="AM31" s="17">
        <v>73200</v>
      </c>
      <c r="AN31" s="17">
        <v>87700</v>
      </c>
      <c r="AO31" s="17">
        <v>92700</v>
      </c>
      <c r="AP31" s="17">
        <v>100200</v>
      </c>
      <c r="AQ31" s="17">
        <v>111200</v>
      </c>
      <c r="AR31" s="17">
        <v>117200</v>
      </c>
      <c r="AS31" s="17">
        <v>124300</v>
      </c>
      <c r="AT31" s="17">
        <v>131800</v>
      </c>
      <c r="AU31" s="17">
        <v>147000</v>
      </c>
      <c r="AV31" s="17">
        <v>203500</v>
      </c>
      <c r="AW31" s="19"/>
      <c r="AX31" s="19"/>
      <c r="AY31" s="19"/>
    </row>
    <row r="32" spans="1:51" ht="19.95" customHeight="1" x14ac:dyDescent="0.3">
      <c r="K32" s="23"/>
      <c r="S32" s="330" t="s">
        <v>253</v>
      </c>
      <c r="T32" s="331"/>
      <c r="U32" s="331"/>
      <c r="V32" s="331"/>
      <c r="W32" s="332"/>
      <c r="X32" s="34"/>
      <c r="AA32" s="27">
        <v>19</v>
      </c>
      <c r="AB32" s="17">
        <v>30200</v>
      </c>
      <c r="AC32" s="17">
        <v>30500</v>
      </c>
      <c r="AD32" s="17">
        <v>31100</v>
      </c>
      <c r="AE32" s="17">
        <v>32700</v>
      </c>
      <c r="AF32" s="17">
        <v>35300</v>
      </c>
      <c r="AG32" s="17">
        <v>36500</v>
      </c>
      <c r="AH32" s="17">
        <v>38300</v>
      </c>
      <c r="AI32" s="17">
        <v>44800</v>
      </c>
      <c r="AJ32" s="17">
        <v>48900</v>
      </c>
      <c r="AK32" s="17">
        <v>57400</v>
      </c>
      <c r="AL32" s="17">
        <v>64400</v>
      </c>
      <c r="AM32" s="17">
        <v>75400</v>
      </c>
      <c r="AN32" s="17">
        <v>90300</v>
      </c>
      <c r="AO32" s="17">
        <v>95500</v>
      </c>
      <c r="AP32" s="17">
        <v>103200</v>
      </c>
      <c r="AQ32" s="17">
        <v>114500</v>
      </c>
      <c r="AR32" s="17">
        <v>120700</v>
      </c>
      <c r="AS32" s="17">
        <v>128000</v>
      </c>
      <c r="AT32" s="17">
        <v>135800</v>
      </c>
      <c r="AU32" s="17">
        <v>151400</v>
      </c>
      <c r="AV32" s="19"/>
      <c r="AW32" s="19"/>
      <c r="AX32" s="19"/>
      <c r="AY32" s="19"/>
    </row>
    <row r="33" spans="11:51" x14ac:dyDescent="0.3">
      <c r="K33" s="23"/>
      <c r="S33" s="330"/>
      <c r="T33" s="331"/>
      <c r="U33" s="331"/>
      <c r="V33" s="331"/>
      <c r="W33" s="332"/>
      <c r="X33" s="34"/>
      <c r="AA33" s="27">
        <v>20</v>
      </c>
      <c r="AB33" s="17">
        <v>31100</v>
      </c>
      <c r="AC33" s="17">
        <v>31400</v>
      </c>
      <c r="AD33" s="17">
        <v>32000</v>
      </c>
      <c r="AE33" s="17">
        <v>33700</v>
      </c>
      <c r="AF33" s="17">
        <v>36400</v>
      </c>
      <c r="AG33" s="17">
        <v>37600</v>
      </c>
      <c r="AH33" s="17">
        <v>39400</v>
      </c>
      <c r="AI33" s="17">
        <v>46100</v>
      </c>
      <c r="AJ33" s="17">
        <v>50400</v>
      </c>
      <c r="AK33" s="17">
        <v>59100</v>
      </c>
      <c r="AL33" s="17">
        <v>66300</v>
      </c>
      <c r="AM33" s="17">
        <v>77700</v>
      </c>
      <c r="AN33" s="17">
        <v>93000</v>
      </c>
      <c r="AO33" s="17">
        <v>98400</v>
      </c>
      <c r="AP33" s="17">
        <v>106300</v>
      </c>
      <c r="AQ33" s="17">
        <v>117900</v>
      </c>
      <c r="AR33" s="17">
        <v>124300</v>
      </c>
      <c r="AS33" s="17">
        <v>131800</v>
      </c>
      <c r="AT33" s="17">
        <v>139900</v>
      </c>
      <c r="AU33" s="17">
        <v>155900</v>
      </c>
      <c r="AV33" s="19"/>
      <c r="AW33" s="19"/>
      <c r="AX33" s="19"/>
      <c r="AY33" s="19"/>
    </row>
    <row r="34" spans="11:51" x14ac:dyDescent="0.3">
      <c r="K34" s="23"/>
      <c r="S34" s="330"/>
      <c r="T34" s="331"/>
      <c r="U34" s="331"/>
      <c r="V34" s="331"/>
      <c r="W34" s="332"/>
      <c r="X34" s="34"/>
      <c r="AA34" s="27">
        <v>21</v>
      </c>
      <c r="AB34" s="17">
        <v>32000</v>
      </c>
      <c r="AC34" s="17">
        <v>32300</v>
      </c>
      <c r="AD34" s="17">
        <v>33000</v>
      </c>
      <c r="AE34" s="17">
        <v>34700</v>
      </c>
      <c r="AF34" s="17">
        <v>37500</v>
      </c>
      <c r="AG34" s="17">
        <v>38700</v>
      </c>
      <c r="AH34" s="17">
        <v>40600</v>
      </c>
      <c r="AI34" s="17">
        <v>47500</v>
      </c>
      <c r="AJ34" s="17">
        <v>51900</v>
      </c>
      <c r="AK34" s="17">
        <v>60900</v>
      </c>
      <c r="AL34" s="17">
        <v>68300</v>
      </c>
      <c r="AM34" s="17">
        <v>80000</v>
      </c>
      <c r="AN34" s="17">
        <v>95800</v>
      </c>
      <c r="AO34" s="17">
        <v>101400</v>
      </c>
      <c r="AP34" s="17">
        <v>109500</v>
      </c>
      <c r="AQ34" s="17">
        <v>121400</v>
      </c>
      <c r="AR34" s="17">
        <v>128000</v>
      </c>
      <c r="AS34" s="17">
        <v>135800</v>
      </c>
      <c r="AT34" s="17">
        <v>144100</v>
      </c>
      <c r="AU34" s="17">
        <v>160600</v>
      </c>
      <c r="AV34" s="19"/>
      <c r="AW34" s="19"/>
      <c r="AX34" s="19"/>
      <c r="AY34" s="19"/>
    </row>
    <row r="35" spans="11:51" x14ac:dyDescent="0.3">
      <c r="K35" s="23"/>
      <c r="S35" s="321" t="s">
        <v>293</v>
      </c>
      <c r="T35" s="322"/>
      <c r="U35" s="322"/>
      <c r="V35" s="322"/>
      <c r="W35" s="323"/>
      <c r="X35" s="34"/>
      <c r="AA35" s="27">
        <v>22</v>
      </c>
      <c r="AB35" s="17">
        <v>33000</v>
      </c>
      <c r="AC35" s="17">
        <v>33300</v>
      </c>
      <c r="AD35" s="17">
        <v>34000</v>
      </c>
      <c r="AE35" s="17">
        <v>35700</v>
      </c>
      <c r="AF35" s="17">
        <v>38600</v>
      </c>
      <c r="AG35" s="17">
        <v>39900</v>
      </c>
      <c r="AH35" s="17">
        <v>41800</v>
      </c>
      <c r="AI35" s="17">
        <v>48900</v>
      </c>
      <c r="AJ35" s="17">
        <v>53500</v>
      </c>
      <c r="AK35" s="17">
        <v>62700</v>
      </c>
      <c r="AL35" s="17">
        <v>70300</v>
      </c>
      <c r="AM35" s="17">
        <v>82400</v>
      </c>
      <c r="AN35" s="17">
        <v>98700</v>
      </c>
      <c r="AO35" s="17">
        <v>104400</v>
      </c>
      <c r="AP35" s="17">
        <v>112800</v>
      </c>
      <c r="AQ35" s="17">
        <v>125000</v>
      </c>
      <c r="AR35" s="17">
        <v>131800</v>
      </c>
      <c r="AS35" s="17">
        <v>139900</v>
      </c>
      <c r="AT35" s="17">
        <v>148400</v>
      </c>
      <c r="AU35" s="17">
        <v>165400</v>
      </c>
      <c r="AV35" s="19"/>
      <c r="AW35" s="19"/>
      <c r="AX35" s="19"/>
      <c r="AY35" s="19"/>
    </row>
    <row r="36" spans="11:51" ht="15" thickBot="1" x14ac:dyDescent="0.35">
      <c r="K36" s="23"/>
      <c r="S36" s="324"/>
      <c r="T36" s="325"/>
      <c r="U36" s="325"/>
      <c r="V36" s="325"/>
      <c r="W36" s="326"/>
      <c r="X36" s="34"/>
      <c r="AA36" s="27">
        <v>23</v>
      </c>
      <c r="AB36" s="17">
        <v>34000</v>
      </c>
      <c r="AC36" s="17">
        <v>34300</v>
      </c>
      <c r="AD36" s="17">
        <v>35000</v>
      </c>
      <c r="AE36" s="17">
        <v>36800</v>
      </c>
      <c r="AF36" s="17">
        <v>39800</v>
      </c>
      <c r="AG36" s="17">
        <v>41100</v>
      </c>
      <c r="AH36" s="17">
        <v>43100</v>
      </c>
      <c r="AI36" s="17">
        <v>50400</v>
      </c>
      <c r="AJ36" s="17">
        <v>55100</v>
      </c>
      <c r="AK36" s="17">
        <v>64600</v>
      </c>
      <c r="AL36" s="17">
        <v>72400</v>
      </c>
      <c r="AM36" s="17">
        <v>84900</v>
      </c>
      <c r="AN36" s="17">
        <v>101700</v>
      </c>
      <c r="AO36" s="17">
        <v>107500</v>
      </c>
      <c r="AP36" s="17">
        <v>116200</v>
      </c>
      <c r="AQ36" s="17">
        <v>128800</v>
      </c>
      <c r="AR36" s="17">
        <v>135800</v>
      </c>
      <c r="AS36" s="17">
        <v>144100</v>
      </c>
      <c r="AT36" s="17">
        <v>152900</v>
      </c>
      <c r="AU36" s="17">
        <v>170400</v>
      </c>
      <c r="AV36" s="19"/>
      <c r="AW36" s="19"/>
      <c r="AX36" s="19"/>
      <c r="AY36" s="19"/>
    </row>
    <row r="37" spans="11:51" ht="15" thickBot="1" x14ac:dyDescent="0.35">
      <c r="K37" s="23"/>
      <c r="X37" s="34"/>
      <c r="AA37" s="27">
        <v>24</v>
      </c>
      <c r="AB37" s="17">
        <v>35000</v>
      </c>
      <c r="AC37" s="17">
        <v>35300</v>
      </c>
      <c r="AD37" s="17">
        <v>36100</v>
      </c>
      <c r="AE37" s="17">
        <v>37900</v>
      </c>
      <c r="AF37" s="17">
        <v>41000</v>
      </c>
      <c r="AG37" s="17">
        <v>42300</v>
      </c>
      <c r="AH37" s="17">
        <v>44400</v>
      </c>
      <c r="AI37" s="17">
        <v>51900</v>
      </c>
      <c r="AJ37" s="17">
        <v>56800</v>
      </c>
      <c r="AK37" s="17">
        <v>66500</v>
      </c>
      <c r="AL37" s="17">
        <v>74600</v>
      </c>
      <c r="AM37" s="17">
        <v>87400</v>
      </c>
      <c r="AN37" s="17">
        <v>104800</v>
      </c>
      <c r="AO37" s="17">
        <v>110700</v>
      </c>
      <c r="AP37" s="17">
        <v>119700</v>
      </c>
      <c r="AQ37" s="17">
        <v>132700</v>
      </c>
      <c r="AR37" s="17">
        <v>139900</v>
      </c>
      <c r="AS37" s="17">
        <v>148400</v>
      </c>
      <c r="AT37" s="17">
        <v>157500</v>
      </c>
      <c r="AU37" s="17">
        <v>175500</v>
      </c>
      <c r="AV37" s="19"/>
      <c r="AW37" s="19"/>
      <c r="AX37" s="19"/>
      <c r="AY37" s="19"/>
    </row>
    <row r="38" spans="11:51" x14ac:dyDescent="0.3">
      <c r="K38" s="23"/>
      <c r="S38" s="334" t="s">
        <v>295</v>
      </c>
      <c r="T38" s="335"/>
      <c r="U38" s="335"/>
      <c r="V38" s="335"/>
      <c r="W38" s="336"/>
      <c r="AA38" s="27">
        <v>25</v>
      </c>
      <c r="AB38" s="17">
        <v>36100</v>
      </c>
      <c r="AC38" s="17">
        <v>36400</v>
      </c>
      <c r="AD38" s="17">
        <v>37200</v>
      </c>
      <c r="AE38" s="17">
        <v>39000</v>
      </c>
      <c r="AF38" s="17">
        <v>42200</v>
      </c>
      <c r="AG38" s="17">
        <v>43600</v>
      </c>
      <c r="AH38" s="17">
        <v>45700</v>
      </c>
      <c r="AI38" s="17">
        <v>53500</v>
      </c>
      <c r="AJ38" s="17">
        <v>58500</v>
      </c>
      <c r="AK38" s="17">
        <v>68500</v>
      </c>
      <c r="AL38" s="17">
        <v>76800</v>
      </c>
      <c r="AM38" s="17">
        <v>90000</v>
      </c>
      <c r="AN38" s="17">
        <v>107900</v>
      </c>
      <c r="AO38" s="17">
        <v>114000</v>
      </c>
      <c r="AP38" s="17">
        <v>123300</v>
      </c>
      <c r="AQ38" s="17">
        <v>136700</v>
      </c>
      <c r="AR38" s="17">
        <v>144100</v>
      </c>
      <c r="AS38" s="17">
        <v>152900</v>
      </c>
      <c r="AT38" s="17">
        <v>162200</v>
      </c>
      <c r="AU38" s="17">
        <v>180800</v>
      </c>
      <c r="AV38" s="19"/>
      <c r="AW38" s="19"/>
      <c r="AX38" s="19"/>
      <c r="AY38" s="19"/>
    </row>
    <row r="39" spans="11:51" x14ac:dyDescent="0.3">
      <c r="S39" s="307" t="s">
        <v>250</v>
      </c>
      <c r="T39" s="308"/>
      <c r="U39" s="308"/>
      <c r="V39" s="308"/>
      <c r="W39" s="309"/>
      <c r="AA39" s="27">
        <v>26</v>
      </c>
      <c r="AB39" s="17">
        <v>37200</v>
      </c>
      <c r="AC39" s="17">
        <v>37500</v>
      </c>
      <c r="AD39" s="17">
        <v>38300</v>
      </c>
      <c r="AE39" s="17">
        <v>40200</v>
      </c>
      <c r="AF39" s="17">
        <v>43500</v>
      </c>
      <c r="AG39" s="17">
        <v>44900</v>
      </c>
      <c r="AH39" s="17">
        <v>47100</v>
      </c>
      <c r="AI39" s="17">
        <v>55100</v>
      </c>
      <c r="AJ39" s="17">
        <v>60300</v>
      </c>
      <c r="AK39" s="17">
        <v>70600</v>
      </c>
      <c r="AL39" s="17">
        <v>79100</v>
      </c>
      <c r="AM39" s="17">
        <v>92700</v>
      </c>
      <c r="AN39" s="17">
        <v>111100</v>
      </c>
      <c r="AO39" s="17">
        <v>117400</v>
      </c>
      <c r="AP39" s="17">
        <v>127000</v>
      </c>
      <c r="AQ39" s="17">
        <v>140800</v>
      </c>
      <c r="AR39" s="17">
        <v>148400</v>
      </c>
      <c r="AS39" s="17">
        <v>157500</v>
      </c>
      <c r="AT39" s="17">
        <v>167100</v>
      </c>
      <c r="AU39" s="17">
        <v>186200</v>
      </c>
      <c r="AV39" s="19"/>
      <c r="AW39" s="19"/>
      <c r="AX39" s="19"/>
      <c r="AY39" s="19"/>
    </row>
    <row r="40" spans="11:51" ht="14.55" customHeight="1" x14ac:dyDescent="0.3">
      <c r="S40" s="310" t="s">
        <v>296</v>
      </c>
      <c r="T40" s="311"/>
      <c r="U40" s="311"/>
      <c r="V40" s="311"/>
      <c r="W40" s="312"/>
      <c r="AA40" s="27">
        <v>27</v>
      </c>
      <c r="AB40" s="17">
        <v>38300</v>
      </c>
      <c r="AC40" s="17">
        <v>38600</v>
      </c>
      <c r="AD40" s="17">
        <v>39400</v>
      </c>
      <c r="AE40" s="17">
        <v>41400</v>
      </c>
      <c r="AF40" s="17">
        <v>44800</v>
      </c>
      <c r="AG40" s="17">
        <v>46200</v>
      </c>
      <c r="AH40" s="17">
        <v>48500</v>
      </c>
      <c r="AI40" s="17">
        <v>56800</v>
      </c>
      <c r="AJ40" s="17">
        <v>62100</v>
      </c>
      <c r="AK40" s="17">
        <v>72700</v>
      </c>
      <c r="AL40" s="17">
        <v>81500</v>
      </c>
      <c r="AM40" s="17">
        <v>95500</v>
      </c>
      <c r="AN40" s="17">
        <v>114400</v>
      </c>
      <c r="AO40" s="17">
        <v>120900</v>
      </c>
      <c r="AP40" s="17">
        <v>130800</v>
      </c>
      <c r="AQ40" s="17">
        <v>145000</v>
      </c>
      <c r="AR40" s="17">
        <v>152900</v>
      </c>
      <c r="AS40" s="17">
        <v>162200</v>
      </c>
      <c r="AT40" s="17">
        <v>172100</v>
      </c>
      <c r="AU40" s="17">
        <v>191800</v>
      </c>
      <c r="AV40" s="19"/>
      <c r="AW40" s="19"/>
      <c r="AX40" s="19"/>
      <c r="AY40" s="19"/>
    </row>
    <row r="41" spans="11:51" ht="16.05" customHeight="1" x14ac:dyDescent="0.3">
      <c r="S41" s="310"/>
      <c r="T41" s="311"/>
      <c r="U41" s="311"/>
      <c r="V41" s="311"/>
      <c r="W41" s="312"/>
      <c r="AA41" s="27">
        <v>28</v>
      </c>
      <c r="AB41" s="17">
        <v>39400</v>
      </c>
      <c r="AC41" s="17">
        <v>39800</v>
      </c>
      <c r="AD41" s="17">
        <v>40600</v>
      </c>
      <c r="AE41" s="17">
        <v>42600</v>
      </c>
      <c r="AF41" s="17">
        <v>46100</v>
      </c>
      <c r="AG41" s="17">
        <v>47600</v>
      </c>
      <c r="AH41" s="17">
        <v>50000</v>
      </c>
      <c r="AI41" s="17">
        <v>58500</v>
      </c>
      <c r="AJ41" s="17">
        <v>64000</v>
      </c>
      <c r="AK41" s="17">
        <v>74900</v>
      </c>
      <c r="AL41" s="17">
        <v>83900</v>
      </c>
      <c r="AM41" s="17">
        <v>98400</v>
      </c>
      <c r="AN41" s="17">
        <v>117800</v>
      </c>
      <c r="AO41" s="17">
        <v>124500</v>
      </c>
      <c r="AP41" s="17">
        <v>134700</v>
      </c>
      <c r="AQ41" s="17">
        <v>149400</v>
      </c>
      <c r="AR41" s="17">
        <v>157500</v>
      </c>
      <c r="AS41" s="17">
        <v>167100</v>
      </c>
      <c r="AT41" s="17">
        <v>177300</v>
      </c>
      <c r="AU41" s="17">
        <v>197600</v>
      </c>
      <c r="AV41" s="19"/>
      <c r="AW41" s="19"/>
      <c r="AX41" s="19"/>
      <c r="AY41" s="19"/>
    </row>
    <row r="42" spans="11:51" x14ac:dyDescent="0.3">
      <c r="S42" s="310"/>
      <c r="T42" s="311"/>
      <c r="U42" s="311"/>
      <c r="V42" s="311"/>
      <c r="W42" s="312"/>
      <c r="AA42" s="27">
        <v>29</v>
      </c>
      <c r="AB42" s="17">
        <v>40600</v>
      </c>
      <c r="AC42" s="17">
        <v>41000</v>
      </c>
      <c r="AD42" s="17">
        <v>41800</v>
      </c>
      <c r="AE42" s="17">
        <v>43900</v>
      </c>
      <c r="AF42" s="17">
        <v>47500</v>
      </c>
      <c r="AG42" s="17">
        <v>49000</v>
      </c>
      <c r="AH42" s="17">
        <v>51500</v>
      </c>
      <c r="AI42" s="17">
        <v>60300</v>
      </c>
      <c r="AJ42" s="17">
        <v>65900</v>
      </c>
      <c r="AK42" s="17">
        <v>77100</v>
      </c>
      <c r="AL42" s="17">
        <v>86400</v>
      </c>
      <c r="AM42" s="17">
        <v>101400</v>
      </c>
      <c r="AN42" s="17">
        <v>121300</v>
      </c>
      <c r="AO42" s="17">
        <v>128200</v>
      </c>
      <c r="AP42" s="17">
        <v>138700</v>
      </c>
      <c r="AQ42" s="17">
        <v>153900</v>
      </c>
      <c r="AR42" s="17">
        <v>162200</v>
      </c>
      <c r="AS42" s="17">
        <v>172100</v>
      </c>
      <c r="AT42" s="17">
        <v>182600</v>
      </c>
      <c r="AU42" s="17">
        <v>203500</v>
      </c>
      <c r="AV42" s="19"/>
      <c r="AW42" s="19"/>
      <c r="AX42" s="19"/>
      <c r="AY42" s="19"/>
    </row>
    <row r="43" spans="11:51" x14ac:dyDescent="0.3">
      <c r="S43" s="321" t="s">
        <v>297</v>
      </c>
      <c r="T43" s="322"/>
      <c r="U43" s="322"/>
      <c r="V43" s="322"/>
      <c r="W43" s="323"/>
      <c r="AA43" s="27">
        <v>30</v>
      </c>
      <c r="AB43" s="17">
        <v>41800</v>
      </c>
      <c r="AC43" s="17">
        <v>42200</v>
      </c>
      <c r="AD43" s="17">
        <v>43100</v>
      </c>
      <c r="AE43" s="17">
        <v>45200</v>
      </c>
      <c r="AF43" s="17">
        <v>48900</v>
      </c>
      <c r="AG43" s="17">
        <v>50500</v>
      </c>
      <c r="AH43" s="17">
        <v>53000</v>
      </c>
      <c r="AI43" s="17">
        <v>62100</v>
      </c>
      <c r="AJ43" s="17">
        <v>67900</v>
      </c>
      <c r="AK43" s="17">
        <v>79400</v>
      </c>
      <c r="AL43" s="17">
        <v>89000</v>
      </c>
      <c r="AM43" s="17">
        <v>104400</v>
      </c>
      <c r="AN43" s="17">
        <v>124900</v>
      </c>
      <c r="AO43" s="17">
        <v>132000</v>
      </c>
      <c r="AP43" s="17">
        <v>142900</v>
      </c>
      <c r="AQ43" s="17">
        <v>158500</v>
      </c>
      <c r="AR43" s="17">
        <v>167100</v>
      </c>
      <c r="AS43" s="17">
        <v>177300</v>
      </c>
      <c r="AT43" s="17">
        <v>188100</v>
      </c>
      <c r="AU43" s="19"/>
      <c r="AV43" s="19"/>
      <c r="AW43" s="19"/>
      <c r="AX43" s="19"/>
      <c r="AY43" s="19"/>
    </row>
    <row r="44" spans="11:51" ht="15" thickBot="1" x14ac:dyDescent="0.35">
      <c r="S44" s="324"/>
      <c r="T44" s="325"/>
      <c r="U44" s="325"/>
      <c r="V44" s="325"/>
      <c r="W44" s="326"/>
      <c r="AA44" s="27">
        <v>31</v>
      </c>
      <c r="AB44" s="17">
        <v>43100</v>
      </c>
      <c r="AC44" s="17">
        <v>43500</v>
      </c>
      <c r="AD44" s="17">
        <v>44400</v>
      </c>
      <c r="AE44" s="17">
        <v>46600</v>
      </c>
      <c r="AF44" s="17">
        <v>50400</v>
      </c>
      <c r="AG44" s="17">
        <v>52000</v>
      </c>
      <c r="AH44" s="17">
        <v>54600</v>
      </c>
      <c r="AI44" s="17">
        <v>64000</v>
      </c>
      <c r="AJ44" s="17">
        <v>69900</v>
      </c>
      <c r="AK44" s="17">
        <v>81800</v>
      </c>
      <c r="AL44" s="17">
        <v>91700</v>
      </c>
      <c r="AM44" s="17">
        <v>107500</v>
      </c>
      <c r="AN44" s="17">
        <v>128600</v>
      </c>
      <c r="AO44" s="17">
        <v>136000</v>
      </c>
      <c r="AP44" s="17">
        <v>147200</v>
      </c>
      <c r="AQ44" s="17">
        <v>163300</v>
      </c>
      <c r="AR44" s="17">
        <v>172100</v>
      </c>
      <c r="AS44" s="17">
        <v>182600</v>
      </c>
      <c r="AT44" s="17">
        <v>193700</v>
      </c>
      <c r="AU44" s="19"/>
      <c r="AV44" s="19"/>
      <c r="AW44" s="19"/>
      <c r="AX44" s="19"/>
      <c r="AY44" s="19"/>
    </row>
    <row r="45" spans="11:51" x14ac:dyDescent="0.3">
      <c r="S45" s="321"/>
      <c r="T45" s="322"/>
      <c r="U45" s="322"/>
      <c r="V45" s="322"/>
      <c r="W45" s="323"/>
      <c r="AA45" s="27">
        <v>32</v>
      </c>
      <c r="AB45" s="17">
        <v>44400</v>
      </c>
      <c r="AC45" s="17">
        <v>44800</v>
      </c>
      <c r="AD45" s="17">
        <v>45700</v>
      </c>
      <c r="AE45" s="17">
        <v>48000</v>
      </c>
      <c r="AF45" s="17">
        <v>51900</v>
      </c>
      <c r="AG45" s="17">
        <v>53600</v>
      </c>
      <c r="AH45" s="17">
        <v>56200</v>
      </c>
      <c r="AI45" s="17">
        <v>65900</v>
      </c>
      <c r="AJ45" s="17">
        <v>72000</v>
      </c>
      <c r="AK45" s="17">
        <v>84300</v>
      </c>
      <c r="AL45" s="17">
        <v>94500</v>
      </c>
      <c r="AM45" s="17">
        <v>110700</v>
      </c>
      <c r="AN45" s="17">
        <v>132500</v>
      </c>
      <c r="AO45" s="17">
        <v>140100</v>
      </c>
      <c r="AP45" s="17">
        <v>151600</v>
      </c>
      <c r="AQ45" s="17">
        <v>168200</v>
      </c>
      <c r="AR45" s="17">
        <v>177300</v>
      </c>
      <c r="AS45" s="17">
        <v>188100</v>
      </c>
      <c r="AT45" s="17">
        <v>199500</v>
      </c>
      <c r="AU45" s="19"/>
      <c r="AV45" s="19"/>
      <c r="AW45" s="19"/>
      <c r="AX45" s="19"/>
      <c r="AY45" s="19"/>
    </row>
    <row r="46" spans="11:51" ht="15" thickBot="1" x14ac:dyDescent="0.35">
      <c r="S46" s="324"/>
      <c r="T46" s="325"/>
      <c r="U46" s="325"/>
      <c r="V46" s="325"/>
      <c r="W46" s="326"/>
      <c r="AA46" s="27">
        <v>33</v>
      </c>
      <c r="AB46" s="17">
        <v>45700</v>
      </c>
      <c r="AC46" s="17">
        <v>46100</v>
      </c>
      <c r="AD46" s="17">
        <v>47100</v>
      </c>
      <c r="AE46" s="17">
        <v>49400</v>
      </c>
      <c r="AF46" s="17">
        <v>53500</v>
      </c>
      <c r="AG46" s="17">
        <v>55200</v>
      </c>
      <c r="AH46" s="17">
        <v>57900</v>
      </c>
      <c r="AI46" s="17">
        <v>67900</v>
      </c>
      <c r="AJ46" s="17">
        <v>74200</v>
      </c>
      <c r="AK46" s="17">
        <v>86800</v>
      </c>
      <c r="AL46" s="17">
        <v>97300</v>
      </c>
      <c r="AM46" s="17">
        <v>114000</v>
      </c>
      <c r="AN46" s="17">
        <v>136500</v>
      </c>
      <c r="AO46" s="17">
        <v>144300</v>
      </c>
      <c r="AP46" s="17">
        <v>156100</v>
      </c>
      <c r="AQ46" s="17">
        <v>173200</v>
      </c>
      <c r="AR46" s="17">
        <v>182600</v>
      </c>
      <c r="AS46" s="17">
        <v>193700</v>
      </c>
      <c r="AT46" s="19"/>
      <c r="AU46" s="19"/>
      <c r="AV46" s="19"/>
      <c r="AW46" s="19"/>
      <c r="AX46" s="19"/>
      <c r="AY46" s="19"/>
    </row>
    <row r="47" spans="11:51" x14ac:dyDescent="0.3">
      <c r="AA47" s="27">
        <v>34</v>
      </c>
      <c r="AB47" s="17">
        <v>47100</v>
      </c>
      <c r="AC47" s="17">
        <v>47500</v>
      </c>
      <c r="AD47" s="17">
        <v>48500</v>
      </c>
      <c r="AE47" s="17">
        <v>50900</v>
      </c>
      <c r="AF47" s="17">
        <v>55100</v>
      </c>
      <c r="AG47" s="17">
        <v>56900</v>
      </c>
      <c r="AH47" s="17">
        <v>59600</v>
      </c>
      <c r="AI47" s="17">
        <v>69900</v>
      </c>
      <c r="AJ47" s="17">
        <v>76400</v>
      </c>
      <c r="AK47" s="17">
        <v>89400</v>
      </c>
      <c r="AL47" s="17">
        <v>100200</v>
      </c>
      <c r="AM47" s="17">
        <v>117400</v>
      </c>
      <c r="AN47" s="17">
        <v>140600</v>
      </c>
      <c r="AO47" s="17">
        <v>148600</v>
      </c>
      <c r="AP47" s="17">
        <v>160800</v>
      </c>
      <c r="AQ47" s="17">
        <v>178400</v>
      </c>
      <c r="AR47" s="17">
        <v>188100</v>
      </c>
      <c r="AS47" s="17">
        <v>199500</v>
      </c>
      <c r="AT47" s="19"/>
      <c r="AU47" s="19"/>
      <c r="AV47" s="19"/>
      <c r="AW47" s="19"/>
      <c r="AX47" s="19"/>
      <c r="AY47" s="19"/>
    </row>
    <row r="48" spans="11:51" x14ac:dyDescent="0.3">
      <c r="AA48" s="27">
        <v>35</v>
      </c>
      <c r="AB48" s="17">
        <v>48500</v>
      </c>
      <c r="AC48" s="17">
        <v>48900</v>
      </c>
      <c r="AD48" s="17">
        <v>50000</v>
      </c>
      <c r="AE48" s="17">
        <v>52400</v>
      </c>
      <c r="AF48" s="17">
        <v>56800</v>
      </c>
      <c r="AG48" s="17">
        <v>58600</v>
      </c>
      <c r="AH48" s="17">
        <v>61400</v>
      </c>
      <c r="AI48" s="17">
        <v>72000</v>
      </c>
      <c r="AJ48" s="17">
        <v>78700</v>
      </c>
      <c r="AK48" s="17">
        <v>92100</v>
      </c>
      <c r="AL48" s="17">
        <v>103200</v>
      </c>
      <c r="AM48" s="17">
        <v>120900</v>
      </c>
      <c r="AN48" s="17">
        <v>144800</v>
      </c>
      <c r="AO48" s="17">
        <v>153100</v>
      </c>
      <c r="AP48" s="17">
        <v>165600</v>
      </c>
      <c r="AQ48" s="17">
        <v>183800</v>
      </c>
      <c r="AR48" s="17">
        <v>193700</v>
      </c>
      <c r="AS48" s="19"/>
      <c r="AT48" s="19"/>
      <c r="AU48" s="19"/>
      <c r="AV48" s="19"/>
      <c r="AW48" s="19"/>
      <c r="AX48" s="19"/>
      <c r="AY48" s="19"/>
    </row>
    <row r="49" spans="27:51" x14ac:dyDescent="0.3">
      <c r="AA49" s="27">
        <v>36</v>
      </c>
      <c r="AB49" s="17">
        <v>50000</v>
      </c>
      <c r="AC49" s="17">
        <v>50400</v>
      </c>
      <c r="AD49" s="17">
        <v>51500</v>
      </c>
      <c r="AE49" s="17">
        <v>54000</v>
      </c>
      <c r="AF49" s="17">
        <v>58500</v>
      </c>
      <c r="AG49" s="17">
        <v>60400</v>
      </c>
      <c r="AH49" s="17">
        <v>63200</v>
      </c>
      <c r="AI49" s="17">
        <v>74200</v>
      </c>
      <c r="AJ49" s="17">
        <v>81100</v>
      </c>
      <c r="AK49" s="17">
        <v>94900</v>
      </c>
      <c r="AL49" s="17">
        <v>106300</v>
      </c>
      <c r="AM49" s="17">
        <v>124500</v>
      </c>
      <c r="AN49" s="17">
        <v>149100</v>
      </c>
      <c r="AO49" s="17">
        <v>157700</v>
      </c>
      <c r="AP49" s="17">
        <v>170600</v>
      </c>
      <c r="AQ49" s="17">
        <v>189300</v>
      </c>
      <c r="AR49" s="17">
        <v>199500</v>
      </c>
      <c r="AS49" s="19"/>
      <c r="AT49" s="19"/>
      <c r="AU49" s="19"/>
      <c r="AV49" s="19"/>
      <c r="AW49" s="19"/>
      <c r="AX49" s="19"/>
      <c r="AY49" s="19"/>
    </row>
    <row r="50" spans="27:51" x14ac:dyDescent="0.3">
      <c r="AA50" s="27">
        <v>37</v>
      </c>
      <c r="AB50" s="17">
        <v>51500</v>
      </c>
      <c r="AC50" s="17">
        <v>51900</v>
      </c>
      <c r="AD50" s="17">
        <v>53000</v>
      </c>
      <c r="AE50" s="17">
        <v>55600</v>
      </c>
      <c r="AF50" s="17">
        <v>60300</v>
      </c>
      <c r="AG50" s="17">
        <v>62200</v>
      </c>
      <c r="AH50" s="17">
        <v>65100</v>
      </c>
      <c r="AI50" s="17">
        <v>76400</v>
      </c>
      <c r="AJ50" s="17">
        <v>83500</v>
      </c>
      <c r="AK50" s="17">
        <v>97700</v>
      </c>
      <c r="AL50" s="17">
        <v>109500</v>
      </c>
      <c r="AM50" s="17">
        <v>128200</v>
      </c>
      <c r="AN50" s="17">
        <v>153600</v>
      </c>
      <c r="AO50" s="17">
        <v>162400</v>
      </c>
      <c r="AP50" s="17">
        <v>175700</v>
      </c>
      <c r="AQ50" s="17">
        <v>195000</v>
      </c>
      <c r="AR50" s="19"/>
      <c r="AS50" s="19"/>
      <c r="AT50" s="19"/>
      <c r="AU50" s="19"/>
      <c r="AV50" s="19"/>
      <c r="AW50" s="19"/>
      <c r="AX50" s="19"/>
      <c r="AY50" s="19"/>
    </row>
    <row r="51" spans="27:51" x14ac:dyDescent="0.3">
      <c r="AA51" s="27">
        <v>38</v>
      </c>
      <c r="AB51" s="17">
        <v>53000</v>
      </c>
      <c r="AC51" s="17">
        <v>53500</v>
      </c>
      <c r="AD51" s="17">
        <v>54600</v>
      </c>
      <c r="AE51" s="17">
        <v>57300</v>
      </c>
      <c r="AF51" s="17">
        <v>62100</v>
      </c>
      <c r="AG51" s="17">
        <v>64100</v>
      </c>
      <c r="AH51" s="17">
        <v>67100</v>
      </c>
      <c r="AI51" s="17">
        <v>78700</v>
      </c>
      <c r="AJ51" s="17">
        <v>86000</v>
      </c>
      <c r="AK51" s="17">
        <v>100600</v>
      </c>
      <c r="AL51" s="17">
        <v>112800</v>
      </c>
      <c r="AM51" s="17">
        <v>132000</v>
      </c>
      <c r="AN51" s="17">
        <v>158200</v>
      </c>
      <c r="AO51" s="17">
        <v>167300</v>
      </c>
      <c r="AP51" s="17">
        <v>181000</v>
      </c>
      <c r="AQ51" s="19"/>
      <c r="AR51" s="19"/>
      <c r="AS51" s="19"/>
      <c r="AT51" s="19"/>
      <c r="AU51" s="19"/>
      <c r="AV51" s="19"/>
      <c r="AW51" s="19"/>
      <c r="AX51" s="19"/>
      <c r="AY51" s="19"/>
    </row>
    <row r="52" spans="27:51" x14ac:dyDescent="0.3">
      <c r="AA52" s="27">
        <v>39</v>
      </c>
      <c r="AB52" s="17">
        <v>54600</v>
      </c>
      <c r="AC52" s="17">
        <v>55100</v>
      </c>
      <c r="AD52" s="17">
        <v>56200</v>
      </c>
      <c r="AE52" s="17">
        <v>59000</v>
      </c>
      <c r="AF52" s="17">
        <v>64000</v>
      </c>
      <c r="AG52" s="17">
        <v>66000</v>
      </c>
      <c r="AH52" s="17">
        <v>69100</v>
      </c>
      <c r="AI52" s="17">
        <v>81100</v>
      </c>
      <c r="AJ52" s="17">
        <v>88600</v>
      </c>
      <c r="AK52" s="17">
        <v>103600</v>
      </c>
      <c r="AL52" s="17">
        <v>116200</v>
      </c>
      <c r="AM52" s="17">
        <v>136000</v>
      </c>
      <c r="AN52" s="17">
        <v>162900</v>
      </c>
      <c r="AO52" s="17">
        <v>172300</v>
      </c>
      <c r="AP52" s="17">
        <v>186400</v>
      </c>
      <c r="AQ52" s="19"/>
      <c r="AR52" s="19"/>
      <c r="AS52" s="19"/>
      <c r="AT52" s="19"/>
      <c r="AU52" s="19"/>
      <c r="AV52" s="19"/>
      <c r="AW52" s="19"/>
      <c r="AX52" s="19"/>
      <c r="AY52" s="19"/>
    </row>
    <row r="53" spans="27:51" x14ac:dyDescent="0.3">
      <c r="AA53" s="27">
        <v>40</v>
      </c>
      <c r="AB53" s="17">
        <v>56200</v>
      </c>
      <c r="AC53" s="17">
        <v>56800</v>
      </c>
      <c r="AD53" s="17">
        <v>57900</v>
      </c>
      <c r="AE53" s="17">
        <v>60800</v>
      </c>
      <c r="AF53" s="17">
        <v>65900</v>
      </c>
      <c r="AG53" s="17">
        <v>68000</v>
      </c>
      <c r="AH53" s="17">
        <v>71200</v>
      </c>
      <c r="AI53" s="17">
        <v>83500</v>
      </c>
      <c r="AJ53" s="17">
        <v>91300</v>
      </c>
      <c r="AK53" s="17">
        <v>106700</v>
      </c>
      <c r="AL53" s="17">
        <v>119700</v>
      </c>
      <c r="AM53" s="17">
        <v>140100</v>
      </c>
      <c r="AN53" s="17">
        <v>167800</v>
      </c>
      <c r="AO53" s="17">
        <v>177500</v>
      </c>
      <c r="AP53" s="17">
        <v>192000</v>
      </c>
      <c r="AQ53" s="19"/>
      <c r="AR53" s="19"/>
      <c r="AS53" s="19"/>
      <c r="AT53" s="19"/>
      <c r="AU53" s="19"/>
      <c r="AV53" s="19"/>
      <c r="AW53" s="19"/>
      <c r="AX53" s="19"/>
      <c r="AY53" s="19"/>
    </row>
    <row r="58" spans="27:51" x14ac:dyDescent="0.3">
      <c r="AB58" s="88" t="s">
        <v>155</v>
      </c>
      <c r="AC58" s="88" t="s">
        <v>156</v>
      </c>
      <c r="AD58" s="88" t="s">
        <v>157</v>
      </c>
      <c r="AE58" s="88" t="s">
        <v>158</v>
      </c>
      <c r="AF58" s="88" t="s">
        <v>159</v>
      </c>
      <c r="AG58" s="88" t="s">
        <v>160</v>
      </c>
      <c r="AH58" s="88" t="s">
        <v>161</v>
      </c>
      <c r="AI58" s="88" t="s">
        <v>162</v>
      </c>
      <c r="AJ58" s="88" t="s">
        <v>163</v>
      </c>
      <c r="AK58" s="88" t="s">
        <v>164</v>
      </c>
      <c r="AL58" s="88" t="s">
        <v>165</v>
      </c>
      <c r="AM58" s="88" t="s">
        <v>166</v>
      </c>
      <c r="AN58" s="88" t="s">
        <v>167</v>
      </c>
      <c r="AO58" s="88" t="s">
        <v>168</v>
      </c>
      <c r="AP58" s="88" t="s">
        <v>169</v>
      </c>
      <c r="AQ58" s="88" t="s">
        <v>170</v>
      </c>
      <c r="AR58" s="88" t="s">
        <v>171</v>
      </c>
      <c r="AS58" s="88" t="s">
        <v>172</v>
      </c>
      <c r="AT58" s="88" t="s">
        <v>173</v>
      </c>
      <c r="AU58" s="88" t="s">
        <v>174</v>
      </c>
      <c r="AV58" s="88" t="s">
        <v>175</v>
      </c>
      <c r="AW58" s="88" t="s">
        <v>176</v>
      </c>
      <c r="AX58" s="88" t="s">
        <v>177</v>
      </c>
      <c r="AY58" s="88" t="s">
        <v>178</v>
      </c>
    </row>
    <row r="59" spans="27:51" x14ac:dyDescent="0.3">
      <c r="AB59" s="88">
        <v>12400</v>
      </c>
      <c r="AC59" s="88">
        <v>12600</v>
      </c>
      <c r="AD59" s="88">
        <v>12800</v>
      </c>
      <c r="AE59" s="88">
        <v>13500</v>
      </c>
      <c r="AF59" s="88">
        <v>14600</v>
      </c>
      <c r="AG59" s="88">
        <v>15100</v>
      </c>
      <c r="AH59" s="88">
        <v>15700</v>
      </c>
      <c r="AI59" s="88">
        <v>18500</v>
      </c>
      <c r="AJ59" s="88">
        <v>20100</v>
      </c>
      <c r="AK59" s="88">
        <v>23700</v>
      </c>
      <c r="AL59" s="88">
        <v>26500</v>
      </c>
      <c r="AM59" s="88">
        <v>31100</v>
      </c>
      <c r="AN59" s="88"/>
      <c r="AO59" s="88">
        <v>39300</v>
      </c>
      <c r="AP59" s="88">
        <v>42500</v>
      </c>
      <c r="AQ59" s="88">
        <v>47200</v>
      </c>
      <c r="AR59" s="88">
        <v>49700</v>
      </c>
      <c r="AS59" s="88">
        <v>52800</v>
      </c>
      <c r="AT59" s="88">
        <v>56000</v>
      </c>
      <c r="AU59" s="88">
        <v>62300</v>
      </c>
      <c r="AV59" s="88">
        <v>86200</v>
      </c>
      <c r="AW59" s="88">
        <v>90800</v>
      </c>
      <c r="AX59" s="88">
        <v>102100</v>
      </c>
      <c r="AY59" s="88">
        <v>104200</v>
      </c>
    </row>
    <row r="60" spans="27:51" x14ac:dyDescent="0.3">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row>
  </sheetData>
  <sheetProtection password="CE76" sheet="1" objects="1" scenarios="1" formatColumns="0" formatRows="0"/>
  <mergeCells count="41">
    <mergeCell ref="S38:W38"/>
    <mergeCell ref="S39:W39"/>
    <mergeCell ref="S45:W46"/>
    <mergeCell ref="S40:W42"/>
    <mergeCell ref="S43:W44"/>
    <mergeCell ref="S35:W36"/>
    <mergeCell ref="S30:W31"/>
    <mergeCell ref="S32:W34"/>
    <mergeCell ref="Q7:AZ7"/>
    <mergeCell ref="S25:W26"/>
    <mergeCell ref="S22:W24"/>
    <mergeCell ref="S28:W28"/>
    <mergeCell ref="S29:W29"/>
    <mergeCell ref="S17:W18"/>
    <mergeCell ref="S20:W20"/>
    <mergeCell ref="S21:W21"/>
    <mergeCell ref="Q8:W8"/>
    <mergeCell ref="H8:I8"/>
    <mergeCell ref="S12:W13"/>
    <mergeCell ref="S11:W11"/>
    <mergeCell ref="S14:W16"/>
    <mergeCell ref="S10:W10"/>
    <mergeCell ref="S9:W9"/>
    <mergeCell ref="O8:O9"/>
    <mergeCell ref="F13:I13"/>
    <mergeCell ref="B20:C20"/>
    <mergeCell ref="Q12:R15"/>
    <mergeCell ref="B2:N2"/>
    <mergeCell ref="B4:N4"/>
    <mergeCell ref="G8:G9"/>
    <mergeCell ref="J8:M8"/>
    <mergeCell ref="N8:N9"/>
    <mergeCell ref="Q9:R10"/>
    <mergeCell ref="B8:B9"/>
    <mergeCell ref="C8:C9"/>
    <mergeCell ref="D8:D9"/>
    <mergeCell ref="E8:E9"/>
    <mergeCell ref="B7:N7"/>
    <mergeCell ref="B5:N5"/>
    <mergeCell ref="B6:N6"/>
    <mergeCell ref="F8:F9"/>
  </mergeCells>
  <dataValidations count="3">
    <dataValidation type="list" allowBlank="1" showInputMessage="1" showErrorMessage="1" sqref="L11 L17">
      <formula1>$AB$13:$AY$13</formula1>
    </dataValidation>
    <dataValidation type="list" allowBlank="1" showInputMessage="1" showErrorMessage="1" sqref="M11">
      <formula1>INDIRECT($L11)</formula1>
    </dataValidation>
    <dataValidation type="list" allowBlank="1" showInputMessage="1" showErrorMessage="1" prompt="यदि वार्षिक वेतन वृद्धि देय है तो ड्रॉपडाउन से  चयन करे अन्यथा खाली छोड़े या &quot;-&quot; का चयन करे" sqref="N12:N16">
      <formula1>"-,वार्षिक वेतनवृद्धि "</formula1>
    </dataValidation>
  </dataValidations>
  <pageMargins left="0.70866141732283472" right="0.70866141732283472" top="0.74803149606299213" bottom="0.74803149606299213" header="0.31496062992125984" footer="0.31496062992125984"/>
  <pageSetup paperSize="9" scale="84" fitToHeight="0" orientation="landscape" r:id="rId1"/>
  <headerFooter>
    <oddFooter xml:space="preserve">&amp;R&amp;"Brush Script MT,Regular"Programmed by Hans Raj Joshi&amp;"-,Regular"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2060"/>
  </sheetPr>
  <dimension ref="A1:AC96"/>
  <sheetViews>
    <sheetView showGridLines="0" topLeftCell="A5" workbookViewId="0">
      <selection activeCell="K15" sqref="K15"/>
    </sheetView>
  </sheetViews>
  <sheetFormatPr defaultRowHeight="14.4" x14ac:dyDescent="0.3"/>
  <cols>
    <col min="1" max="1" width="2.5546875" customWidth="1"/>
    <col min="2" max="2" width="4.88671875" customWidth="1"/>
    <col min="3" max="3" width="10.21875" customWidth="1"/>
    <col min="4" max="4" width="10.6640625" customWidth="1"/>
    <col min="5" max="5" width="12.5546875" customWidth="1"/>
    <col min="6" max="6" width="17.88671875" customWidth="1"/>
    <col min="7" max="7" width="9.109375" customWidth="1"/>
    <col min="8" max="8" width="13.44140625" bestFit="1" customWidth="1"/>
    <col min="9" max="9" width="9.109375" customWidth="1"/>
    <col min="10" max="11" width="12.77734375" customWidth="1"/>
    <col min="12" max="12" width="14.6640625" style="73" customWidth="1"/>
    <col min="13" max="13" width="9.6640625" style="73" customWidth="1"/>
    <col min="14" max="14" width="3.77734375" customWidth="1"/>
    <col min="16" max="16" width="13.5546875" customWidth="1"/>
  </cols>
  <sheetData>
    <row r="1" spans="1:29" ht="15" thickBot="1" x14ac:dyDescent="0.35">
      <c r="A1" s="137"/>
      <c r="B1" s="137"/>
      <c r="C1" s="137"/>
      <c r="D1" s="137"/>
      <c r="E1" s="137"/>
      <c r="F1" s="137"/>
      <c r="G1" s="137"/>
      <c r="H1" s="137"/>
      <c r="I1" s="137"/>
      <c r="J1" s="137"/>
      <c r="K1" s="137"/>
      <c r="L1" s="137"/>
      <c r="M1" s="137"/>
      <c r="N1" s="137"/>
    </row>
    <row r="2" spans="1:29" ht="21.45" customHeight="1" thickTop="1" thickBot="1" x14ac:dyDescent="0.35">
      <c r="A2" s="137"/>
      <c r="B2" s="355" t="str">
        <f>MASTER!B2&amp;" "&amp;MASTER!C2</f>
        <v xml:space="preserve">कार्यालय प्रधानाचार्य राजकीय उच्च माध्यमिक विद्यालय राजपुरा पिपेरन  श्री गंगानगर </v>
      </c>
      <c r="C2" s="356"/>
      <c r="D2" s="356"/>
      <c r="E2" s="356"/>
      <c r="F2" s="356"/>
      <c r="G2" s="356"/>
      <c r="H2" s="356"/>
      <c r="I2" s="356"/>
      <c r="J2" s="356"/>
      <c r="K2" s="356"/>
      <c r="L2" s="356"/>
      <c r="M2" s="357"/>
      <c r="N2" s="137"/>
    </row>
    <row r="3" spans="1:29" ht="19.2" thickTop="1" thickBot="1" x14ac:dyDescent="0.35">
      <c r="A3" s="137"/>
      <c r="B3" s="358"/>
      <c r="C3" s="358"/>
      <c r="D3" s="358"/>
      <c r="E3" s="358"/>
      <c r="F3" s="358"/>
      <c r="G3" s="358"/>
      <c r="H3" s="358"/>
      <c r="I3" s="358"/>
      <c r="J3" s="358"/>
      <c r="K3" s="358"/>
      <c r="L3" s="358"/>
      <c r="M3" s="359"/>
      <c r="N3" s="137"/>
      <c r="AC3" t="s">
        <v>102</v>
      </c>
    </row>
    <row r="4" spans="1:29" ht="21.45" customHeight="1" thickBot="1" x14ac:dyDescent="0.35">
      <c r="A4" s="137"/>
      <c r="B4" s="286" t="s">
        <v>103</v>
      </c>
      <c r="C4" s="286"/>
      <c r="D4" s="286"/>
      <c r="E4" s="350" t="str">
        <f>MASTER!D6</f>
        <v>RAMCHANDER SWAMI</v>
      </c>
      <c r="F4" s="351"/>
      <c r="G4" s="352"/>
      <c r="H4" s="135"/>
      <c r="I4" s="70"/>
      <c r="J4" s="286" t="s">
        <v>104</v>
      </c>
      <c r="K4" s="286"/>
      <c r="L4" s="286"/>
      <c r="M4" s="74" t="s">
        <v>319</v>
      </c>
      <c r="N4" s="137"/>
      <c r="AC4" t="s">
        <v>105</v>
      </c>
    </row>
    <row r="5" spans="1:29" ht="15" thickBot="1" x14ac:dyDescent="0.35">
      <c r="A5" s="137"/>
      <c r="B5" s="71"/>
      <c r="C5" s="70"/>
      <c r="D5" s="70"/>
      <c r="E5" s="70"/>
      <c r="F5" s="70"/>
      <c r="G5" s="70"/>
      <c r="H5" s="70"/>
      <c r="I5" s="70"/>
      <c r="J5" s="70"/>
      <c r="K5" s="70"/>
      <c r="L5" s="72"/>
      <c r="M5" s="75"/>
      <c r="N5" s="137"/>
      <c r="AC5" t="s">
        <v>106</v>
      </c>
    </row>
    <row r="6" spans="1:29" ht="19.05" customHeight="1" thickBot="1" x14ac:dyDescent="0.35">
      <c r="A6" s="137"/>
      <c r="B6" s="286" t="s">
        <v>107</v>
      </c>
      <c r="C6" s="286"/>
      <c r="D6" s="286"/>
      <c r="E6" s="350" t="str">
        <f>MASTER!G6</f>
        <v>HEADMASTER</v>
      </c>
      <c r="F6" s="351"/>
      <c r="G6" s="352"/>
      <c r="H6" s="136"/>
      <c r="I6" s="70"/>
      <c r="J6" s="286" t="s">
        <v>239</v>
      </c>
      <c r="K6" s="286"/>
      <c r="L6" s="286"/>
      <c r="M6" s="155" t="str">
        <f>MASTER!I14</f>
        <v>Regular</v>
      </c>
      <c r="N6" s="137"/>
      <c r="AC6" t="s">
        <v>108</v>
      </c>
    </row>
    <row r="7" spans="1:29" ht="15" thickBot="1" x14ac:dyDescent="0.35">
      <c r="A7" s="137"/>
      <c r="B7" s="71"/>
      <c r="C7" s="70"/>
      <c r="D7" s="70"/>
      <c r="E7" s="70"/>
      <c r="F7" s="70"/>
      <c r="G7" s="70"/>
      <c r="H7" s="360" t="s">
        <v>306</v>
      </c>
      <c r="I7" s="360"/>
      <c r="J7" s="360"/>
      <c r="K7" s="70"/>
      <c r="L7" s="72"/>
      <c r="M7" s="75"/>
      <c r="N7" s="137"/>
      <c r="AC7" t="s">
        <v>109</v>
      </c>
    </row>
    <row r="8" spans="1:29" ht="15.45" customHeight="1" thickBot="1" x14ac:dyDescent="0.35">
      <c r="A8" s="137"/>
      <c r="B8" s="286" t="s">
        <v>110</v>
      </c>
      <c r="C8" s="286"/>
      <c r="D8" s="277"/>
      <c r="E8" s="353" t="str">
        <f>MASTER!D12&amp;" "&amp;"ARREAR"</f>
        <v>NOTIONAL ARREAR</v>
      </c>
      <c r="F8" s="354"/>
      <c r="G8" s="144" t="s">
        <v>111</v>
      </c>
      <c r="H8" s="157">
        <f>MASTER!D14</f>
        <v>43647</v>
      </c>
      <c r="I8" s="121" t="s">
        <v>112</v>
      </c>
      <c r="J8" s="158">
        <v>44957</v>
      </c>
      <c r="K8" s="101"/>
      <c r="L8" s="121" t="s">
        <v>113</v>
      </c>
      <c r="M8" s="145">
        <f>DATEDIF(H8,J8,"m")+1</f>
        <v>43</v>
      </c>
      <c r="N8" s="137"/>
      <c r="AC8" t="s">
        <v>114</v>
      </c>
    </row>
    <row r="9" spans="1:29" ht="16.2" thickBot="1" x14ac:dyDescent="0.35">
      <c r="A9" s="137"/>
      <c r="B9" s="71"/>
      <c r="C9" s="342" t="s">
        <v>272</v>
      </c>
      <c r="D9" s="342"/>
      <c r="E9" s="342"/>
      <c r="F9" s="342"/>
      <c r="G9" s="342"/>
      <c r="H9" s="342"/>
      <c r="I9" s="342"/>
      <c r="J9" s="342"/>
      <c r="K9" s="342"/>
      <c r="L9" s="342"/>
      <c r="M9" s="76"/>
      <c r="N9" s="137"/>
      <c r="AC9" t="s">
        <v>115</v>
      </c>
    </row>
    <row r="10" spans="1:29" ht="18.600000000000001" thickBot="1" x14ac:dyDescent="0.35">
      <c r="A10" s="137"/>
      <c r="B10" s="343" t="s">
        <v>116</v>
      </c>
      <c r="C10" s="345" t="s">
        <v>271</v>
      </c>
      <c r="D10" s="345"/>
      <c r="E10" s="345"/>
      <c r="F10" s="345"/>
      <c r="G10" s="346"/>
      <c r="H10" s="159"/>
      <c r="I10" s="347" t="s">
        <v>270</v>
      </c>
      <c r="J10" s="348"/>
      <c r="K10" s="348"/>
      <c r="L10" s="348"/>
      <c r="M10" s="349"/>
      <c r="N10" s="137"/>
      <c r="P10" s="179" t="s">
        <v>267</v>
      </c>
      <c r="AC10" t="s">
        <v>117</v>
      </c>
    </row>
    <row r="11" spans="1:29" x14ac:dyDescent="0.3">
      <c r="A11" s="137"/>
      <c r="B11" s="344"/>
      <c r="C11" s="77" t="s">
        <v>118</v>
      </c>
      <c r="D11" s="78" t="s">
        <v>242</v>
      </c>
      <c r="E11" s="78" t="s">
        <v>243</v>
      </c>
      <c r="F11" s="78" t="s">
        <v>120</v>
      </c>
      <c r="G11" s="79" t="s">
        <v>121</v>
      </c>
      <c r="H11" s="160"/>
      <c r="I11" s="78" t="s">
        <v>118</v>
      </c>
      <c r="J11" s="78" t="s">
        <v>242</v>
      </c>
      <c r="K11" s="78" t="s">
        <v>243</v>
      </c>
      <c r="L11" s="78" t="s">
        <v>120</v>
      </c>
      <c r="M11" s="80" t="s">
        <v>121</v>
      </c>
      <c r="N11" s="137"/>
      <c r="AC11" t="s">
        <v>122</v>
      </c>
    </row>
    <row r="12" spans="1:29" x14ac:dyDescent="0.3">
      <c r="A12" s="137"/>
      <c r="B12" s="134">
        <f>IF(control!A9="","",control!A9)</f>
        <v>1</v>
      </c>
      <c r="C12" s="146" t="str">
        <f>IFERROR(IF(control!C9="","",control!C9),0)</f>
        <v>Jul-19</v>
      </c>
      <c r="D12" s="147">
        <f ca="1">IF(MASTER!$D$12="NOTIONAL",ORDER!$I$15,ORDER!$M$11)</f>
        <v>44300</v>
      </c>
      <c r="E12" s="151"/>
      <c r="F12" s="152">
        <v>0.17</v>
      </c>
      <c r="G12" s="152">
        <v>0.08</v>
      </c>
      <c r="H12" s="148"/>
      <c r="I12" s="149" t="str">
        <f>C12</f>
        <v>Jul-19</v>
      </c>
      <c r="J12" s="150">
        <f>MASTER!I12</f>
        <v>46500</v>
      </c>
      <c r="K12" s="153"/>
      <c r="L12" s="154">
        <v>0</v>
      </c>
      <c r="M12" s="154">
        <v>0</v>
      </c>
      <c r="N12" s="137"/>
      <c r="P12" s="156"/>
      <c r="AC12" t="s">
        <v>123</v>
      </c>
    </row>
    <row r="13" spans="1:29" x14ac:dyDescent="0.3">
      <c r="A13" s="137"/>
      <c r="B13" s="134">
        <f>IF(control!A10="","",control!A10)</f>
        <v>2</v>
      </c>
      <c r="C13" s="146" t="str">
        <f>IFERROR(IF(control!C10="","",control!C10),0)</f>
        <v>Aug-19</v>
      </c>
      <c r="D13" s="147">
        <f ca="1">IF(C13="","",IF(LEFT(C13,3)="Jul",MROUND(D12*103%,100),D12))</f>
        <v>44300</v>
      </c>
      <c r="E13" s="151"/>
      <c r="F13" s="152">
        <v>0.17</v>
      </c>
      <c r="G13" s="152">
        <v>0.08</v>
      </c>
      <c r="H13" s="148"/>
      <c r="I13" s="149" t="str">
        <f>C13</f>
        <v>Aug-19</v>
      </c>
      <c r="J13" s="150">
        <f>IF(I13="","",IF(AND(MASTER!$I$14="Regular",LEFT(I13,3)="Jul"),MROUND(J12*103%,100),J12))</f>
        <v>46500</v>
      </c>
      <c r="K13" s="153"/>
      <c r="L13" s="154">
        <v>0</v>
      </c>
      <c r="M13" s="154">
        <v>0</v>
      </c>
      <c r="N13" s="137"/>
      <c r="AC13" t="s">
        <v>124</v>
      </c>
    </row>
    <row r="14" spans="1:29" x14ac:dyDescent="0.3">
      <c r="A14" s="137"/>
      <c r="B14" s="134">
        <f>IF(control!A11="","",control!A11)</f>
        <v>3</v>
      </c>
      <c r="C14" s="146" t="str">
        <f>IFERROR(IF(control!C11="","",control!C11),0)</f>
        <v>Sep-19</v>
      </c>
      <c r="D14" s="147">
        <f t="shared" ref="D14:D47" ca="1" si="0">IF(C14="","",IF(LEFT(C14,3)="Jul",MROUND(D13*103%,100),D13))</f>
        <v>44300</v>
      </c>
      <c r="E14" s="151"/>
      <c r="F14" s="152">
        <v>0.17</v>
      </c>
      <c r="G14" s="152">
        <v>0.08</v>
      </c>
      <c r="H14" s="148"/>
      <c r="I14" s="149" t="str">
        <f t="shared" ref="I14:I35" si="1">C14</f>
        <v>Sep-19</v>
      </c>
      <c r="J14" s="150">
        <f>IF(I14="","",IF(AND(MASTER!$I$14="Regular",LEFT(I14,3)="Jul"),MROUND(J13*103%,100),J13))</f>
        <v>46500</v>
      </c>
      <c r="K14" s="153"/>
      <c r="L14" s="154">
        <v>0</v>
      </c>
      <c r="M14" s="154">
        <v>0</v>
      </c>
      <c r="N14" s="137"/>
      <c r="AC14" t="s">
        <v>125</v>
      </c>
    </row>
    <row r="15" spans="1:29" x14ac:dyDescent="0.3">
      <c r="A15" s="137"/>
      <c r="B15" s="134">
        <f>IF(control!A12="","",control!A12)</f>
        <v>4</v>
      </c>
      <c r="C15" s="146" t="str">
        <f>IFERROR(IF(control!C12="","",control!C12),0)</f>
        <v>Oct-19</v>
      </c>
      <c r="D15" s="147">
        <f t="shared" ca="1" si="0"/>
        <v>44300</v>
      </c>
      <c r="E15" s="151"/>
      <c r="F15" s="152">
        <v>0.17</v>
      </c>
      <c r="G15" s="152">
        <v>0.08</v>
      </c>
      <c r="H15" s="148"/>
      <c r="I15" s="149" t="str">
        <f t="shared" si="1"/>
        <v>Oct-19</v>
      </c>
      <c r="J15" s="150">
        <f>IF(I15="","",IF(AND(MASTER!$I$14="Regular",LEFT(I15,3)="Jul"),MROUND(J14*103%,100),J14))</f>
        <v>46500</v>
      </c>
      <c r="K15" s="153"/>
      <c r="L15" s="154">
        <v>0</v>
      </c>
      <c r="M15" s="154">
        <v>0.08</v>
      </c>
      <c r="N15" s="137"/>
      <c r="AC15" t="s">
        <v>126</v>
      </c>
    </row>
    <row r="16" spans="1:29" x14ac:dyDescent="0.3">
      <c r="A16" s="137"/>
      <c r="B16" s="134">
        <f>IF(control!A13="","",control!A13)</f>
        <v>5</v>
      </c>
      <c r="C16" s="146" t="str">
        <f>IFERROR(IF(control!C13="","",control!C13),0)</f>
        <v>Nov-19</v>
      </c>
      <c r="D16" s="147">
        <f t="shared" ca="1" si="0"/>
        <v>44300</v>
      </c>
      <c r="E16" s="151"/>
      <c r="F16" s="152">
        <v>0.17</v>
      </c>
      <c r="G16" s="152">
        <v>0.08</v>
      </c>
      <c r="H16" s="148"/>
      <c r="I16" s="149" t="str">
        <f t="shared" si="1"/>
        <v>Nov-19</v>
      </c>
      <c r="J16" s="150">
        <f>IF(I16="","",IF(AND(MASTER!$I$14="Regular",LEFT(I16,3)="Jul"),MROUND(J15*103%,100),J15))</f>
        <v>46500</v>
      </c>
      <c r="K16" s="153"/>
      <c r="L16" s="154">
        <v>0.12</v>
      </c>
      <c r="M16" s="154">
        <v>0.08</v>
      </c>
      <c r="N16" s="137"/>
    </row>
    <row r="17" spans="1:14" x14ac:dyDescent="0.3">
      <c r="A17" s="137"/>
      <c r="B17" s="134">
        <f>IF(control!A14="","",control!A14)</f>
        <v>6</v>
      </c>
      <c r="C17" s="146" t="str">
        <f>IFERROR(IF(control!C14="","",control!C14),0)</f>
        <v>Dec-19</v>
      </c>
      <c r="D17" s="147">
        <f t="shared" ca="1" si="0"/>
        <v>44300</v>
      </c>
      <c r="E17" s="151"/>
      <c r="F17" s="152">
        <v>0.17</v>
      </c>
      <c r="G17" s="152">
        <v>0.08</v>
      </c>
      <c r="H17" s="148"/>
      <c r="I17" s="149" t="str">
        <f t="shared" si="1"/>
        <v>Dec-19</v>
      </c>
      <c r="J17" s="150">
        <f>IF(I17="","",IF(AND(MASTER!$I$14="Regular",LEFT(I17,3)="Jul"),MROUND(J16*103%,100),J16))</f>
        <v>46500</v>
      </c>
      <c r="K17" s="153"/>
      <c r="L17" s="154">
        <v>0.17</v>
      </c>
      <c r="M17" s="154">
        <v>0.08</v>
      </c>
      <c r="N17" s="137"/>
    </row>
    <row r="18" spans="1:14" x14ac:dyDescent="0.3">
      <c r="A18" s="137"/>
      <c r="B18" s="134">
        <f>IF(control!A15="","",control!A15)</f>
        <v>7</v>
      </c>
      <c r="C18" s="146" t="str">
        <f>IFERROR(IF(control!C15="","",control!C15),0)</f>
        <v>Jan-20</v>
      </c>
      <c r="D18" s="147">
        <f t="shared" ca="1" si="0"/>
        <v>44300</v>
      </c>
      <c r="E18" s="151"/>
      <c r="F18" s="152">
        <v>0.17</v>
      </c>
      <c r="G18" s="152">
        <v>0.08</v>
      </c>
      <c r="H18" s="148"/>
      <c r="I18" s="149" t="str">
        <f t="shared" si="1"/>
        <v>Jan-20</v>
      </c>
      <c r="J18" s="150">
        <f>IF(I18="","",IF(AND(MASTER!$I$14="Regular",LEFT(I18,3)="Jul"),MROUND(J17*103%,100),J17))</f>
        <v>46500</v>
      </c>
      <c r="K18" s="153"/>
      <c r="L18" s="154">
        <v>0.17</v>
      </c>
      <c r="M18" s="154">
        <v>0.08</v>
      </c>
      <c r="N18" s="137"/>
    </row>
    <row r="19" spans="1:14" x14ac:dyDescent="0.3">
      <c r="A19" s="137"/>
      <c r="B19" s="134">
        <f>IF(control!A16="","",control!A16)</f>
        <v>8</v>
      </c>
      <c r="C19" s="146" t="str">
        <f>IFERROR(IF(control!C16="","",control!C16),0)</f>
        <v>Feb-20</v>
      </c>
      <c r="D19" s="147">
        <f t="shared" ca="1" si="0"/>
        <v>44300</v>
      </c>
      <c r="E19" s="151"/>
      <c r="F19" s="152">
        <v>0.17</v>
      </c>
      <c r="G19" s="152">
        <v>0.08</v>
      </c>
      <c r="H19" s="148"/>
      <c r="I19" s="149" t="str">
        <f t="shared" si="1"/>
        <v>Feb-20</v>
      </c>
      <c r="J19" s="150">
        <f>IF(I19="","",IF(AND(MASTER!$I$14="Regular",LEFT(I19,3)="Jul"),MROUND(J18*103%,100),J18))</f>
        <v>46500</v>
      </c>
      <c r="K19" s="153"/>
      <c r="L19" s="154">
        <v>0.17</v>
      </c>
      <c r="M19" s="154">
        <v>0.08</v>
      </c>
      <c r="N19" s="137"/>
    </row>
    <row r="20" spans="1:14" x14ac:dyDescent="0.3">
      <c r="A20" s="137"/>
      <c r="B20" s="134">
        <f>IF(control!A17="","",control!A17)</f>
        <v>9</v>
      </c>
      <c r="C20" s="146" t="str">
        <f>IFERROR(IF(control!C17="","",control!C17),0)</f>
        <v>Mar-20</v>
      </c>
      <c r="D20" s="147">
        <f t="shared" ca="1" si="0"/>
        <v>44300</v>
      </c>
      <c r="E20" s="151"/>
      <c r="F20" s="152">
        <v>0.17</v>
      </c>
      <c r="G20" s="152">
        <v>0.08</v>
      </c>
      <c r="H20" s="148"/>
      <c r="I20" s="149" t="str">
        <f t="shared" si="1"/>
        <v>Mar-20</v>
      </c>
      <c r="J20" s="150">
        <f>IF(I20="","",IF(AND(MASTER!$I$14="Regular",LEFT(I20,3)="Jul"),MROUND(J19*103%,100),J19))</f>
        <v>46500</v>
      </c>
      <c r="K20" s="153"/>
      <c r="L20" s="154">
        <v>0.17</v>
      </c>
      <c r="M20" s="154">
        <v>0.08</v>
      </c>
      <c r="N20" s="137"/>
    </row>
    <row r="21" spans="1:14" x14ac:dyDescent="0.3">
      <c r="A21" s="137"/>
      <c r="B21" s="134">
        <f>IF(control!A18="","",control!A18)</f>
        <v>10</v>
      </c>
      <c r="C21" s="146" t="str">
        <f>IFERROR(IF(control!C18="","",control!C18),0)</f>
        <v>Apr-20</v>
      </c>
      <c r="D21" s="147">
        <f t="shared" ca="1" si="0"/>
        <v>44300</v>
      </c>
      <c r="E21" s="151"/>
      <c r="F21" s="152">
        <v>0.17</v>
      </c>
      <c r="G21" s="152">
        <v>0.08</v>
      </c>
      <c r="H21" s="148"/>
      <c r="I21" s="149" t="str">
        <f t="shared" si="1"/>
        <v>Apr-20</v>
      </c>
      <c r="J21" s="150">
        <f>IF(I21="","",IF(AND(MASTER!$I$14="Regular",LEFT(I21,3)="Jul"),MROUND(J20*103%,100),J20))</f>
        <v>46500</v>
      </c>
      <c r="K21" s="153"/>
      <c r="L21" s="154">
        <v>0.17</v>
      </c>
      <c r="M21" s="154">
        <v>0.08</v>
      </c>
      <c r="N21" s="137"/>
    </row>
    <row r="22" spans="1:14" x14ac:dyDescent="0.3">
      <c r="A22" s="137"/>
      <c r="B22" s="134">
        <f>IF(control!A19="","",control!A19)</f>
        <v>11</v>
      </c>
      <c r="C22" s="146" t="str">
        <f>IFERROR(IF(control!C19="","",control!C19),0)</f>
        <v>May-20</v>
      </c>
      <c r="D22" s="147">
        <f t="shared" ca="1" si="0"/>
        <v>44300</v>
      </c>
      <c r="E22" s="151"/>
      <c r="F22" s="152">
        <v>0.17</v>
      </c>
      <c r="G22" s="152">
        <v>0.08</v>
      </c>
      <c r="H22" s="148"/>
      <c r="I22" s="149" t="str">
        <f t="shared" si="1"/>
        <v>May-20</v>
      </c>
      <c r="J22" s="150">
        <f>IF(I22="","",IF(AND(MASTER!$I$14="Regular",LEFT(I22,3)="Jul"),MROUND(J21*103%,100),J21))</f>
        <v>46500</v>
      </c>
      <c r="K22" s="153"/>
      <c r="L22" s="154">
        <v>0.17</v>
      </c>
      <c r="M22" s="154">
        <v>0.08</v>
      </c>
      <c r="N22" s="137"/>
    </row>
    <row r="23" spans="1:14" x14ac:dyDescent="0.3">
      <c r="A23" s="137"/>
      <c r="B23" s="134">
        <f>IF(control!A20="","",control!A20)</f>
        <v>12</v>
      </c>
      <c r="C23" s="146" t="str">
        <f>IFERROR(IF(control!C20="","",control!C20),0)</f>
        <v>Jun-20</v>
      </c>
      <c r="D23" s="147">
        <f t="shared" ca="1" si="0"/>
        <v>44300</v>
      </c>
      <c r="E23" s="151"/>
      <c r="F23" s="152">
        <v>0.17</v>
      </c>
      <c r="G23" s="152">
        <v>0.08</v>
      </c>
      <c r="H23" s="148"/>
      <c r="I23" s="149" t="str">
        <f t="shared" si="1"/>
        <v>Jun-20</v>
      </c>
      <c r="J23" s="150">
        <f>IF(I23="","",IF(AND(MASTER!$I$14="Regular",LEFT(I23,3)="Jul"),MROUND(J22*103%,100),J22))</f>
        <v>46500</v>
      </c>
      <c r="K23" s="153"/>
      <c r="L23" s="154">
        <v>0.17</v>
      </c>
      <c r="M23" s="154">
        <v>0.08</v>
      </c>
      <c r="N23" s="137"/>
    </row>
    <row r="24" spans="1:14" x14ac:dyDescent="0.3">
      <c r="A24" s="137"/>
      <c r="B24" s="134">
        <f>IF(control!A21="","",control!A21)</f>
        <v>13</v>
      </c>
      <c r="C24" s="146" t="str">
        <f>IFERROR(IF(control!C21="","",control!C21),0)</f>
        <v>Jul-20</v>
      </c>
      <c r="D24" s="147">
        <f t="shared" ca="1" si="0"/>
        <v>45600</v>
      </c>
      <c r="E24" s="151"/>
      <c r="F24" s="152">
        <v>0.17</v>
      </c>
      <c r="G24" s="152">
        <v>0.08</v>
      </c>
      <c r="H24" s="148"/>
      <c r="I24" s="149" t="str">
        <f t="shared" si="1"/>
        <v>Jul-20</v>
      </c>
      <c r="J24" s="150">
        <f>IF(I24="","",IF(AND(MASTER!$I$14="Regular",LEFT(I24,3)="Jul"),MROUND(J23*103%,100),J23))</f>
        <v>47900</v>
      </c>
      <c r="K24" s="153"/>
      <c r="L24" s="154">
        <v>0.17</v>
      </c>
      <c r="M24" s="154">
        <v>0.08</v>
      </c>
      <c r="N24" s="137"/>
    </row>
    <row r="25" spans="1:14" x14ac:dyDescent="0.3">
      <c r="A25" s="137"/>
      <c r="B25" s="134">
        <f>IF(control!A22="","",control!A22)</f>
        <v>14</v>
      </c>
      <c r="C25" s="146" t="str">
        <f>IFERROR(IF(control!C22="","",control!C22),0)</f>
        <v>Aug-20</v>
      </c>
      <c r="D25" s="147">
        <f t="shared" ca="1" si="0"/>
        <v>45600</v>
      </c>
      <c r="E25" s="151"/>
      <c r="F25" s="152">
        <v>0.17</v>
      </c>
      <c r="G25" s="152">
        <v>0.08</v>
      </c>
      <c r="H25" s="148"/>
      <c r="I25" s="149" t="str">
        <f t="shared" si="1"/>
        <v>Aug-20</v>
      </c>
      <c r="J25" s="150">
        <f>IF(I25="","",IF(AND(MASTER!$I$14="Regular",LEFT(I25,3)="Jul"),MROUND(J24*103%,100),J24))</f>
        <v>47900</v>
      </c>
      <c r="K25" s="153"/>
      <c r="L25" s="154">
        <v>0.17</v>
      </c>
      <c r="M25" s="154">
        <v>0.08</v>
      </c>
      <c r="N25" s="137"/>
    </row>
    <row r="26" spans="1:14" x14ac:dyDescent="0.3">
      <c r="A26" s="137"/>
      <c r="B26" s="134">
        <f>IF(control!A23="","",control!A23)</f>
        <v>15</v>
      </c>
      <c r="C26" s="146" t="str">
        <f>IFERROR(IF(control!C23="","",control!C23),0)</f>
        <v>Sep-20</v>
      </c>
      <c r="D26" s="147">
        <f t="shared" ca="1" si="0"/>
        <v>45600</v>
      </c>
      <c r="E26" s="151"/>
      <c r="F26" s="152">
        <v>0.17</v>
      </c>
      <c r="G26" s="152">
        <v>0.08</v>
      </c>
      <c r="H26" s="148"/>
      <c r="I26" s="149" t="str">
        <f t="shared" si="1"/>
        <v>Sep-20</v>
      </c>
      <c r="J26" s="150">
        <f>IF(I26="","",IF(AND(MASTER!$I$14="Regular",LEFT(I26,3)="Jul"),MROUND(J25*103%,100),J25))</f>
        <v>47900</v>
      </c>
      <c r="K26" s="153"/>
      <c r="L26" s="154">
        <v>0.17</v>
      </c>
      <c r="M26" s="154">
        <v>0.08</v>
      </c>
      <c r="N26" s="137"/>
    </row>
    <row r="27" spans="1:14" x14ac:dyDescent="0.3">
      <c r="A27" s="137"/>
      <c r="B27" s="134">
        <f>IF(control!A24="","",control!A24)</f>
        <v>16</v>
      </c>
      <c r="C27" s="146" t="str">
        <f>IFERROR(IF(control!C24="","",control!C24),0)</f>
        <v>Oct-20</v>
      </c>
      <c r="D27" s="147">
        <f t="shared" ca="1" si="0"/>
        <v>45600</v>
      </c>
      <c r="E27" s="151"/>
      <c r="F27" s="152">
        <v>0.17</v>
      </c>
      <c r="G27" s="152">
        <v>0.08</v>
      </c>
      <c r="H27" s="148"/>
      <c r="I27" s="149" t="str">
        <f t="shared" si="1"/>
        <v>Oct-20</v>
      </c>
      <c r="J27" s="150">
        <f>IF(I27="","",IF(AND(MASTER!$I$14="Regular",LEFT(I27,3)="Jul"),MROUND(J26*103%,100),J26))</f>
        <v>47900</v>
      </c>
      <c r="K27" s="153"/>
      <c r="L27" s="154">
        <v>0.17</v>
      </c>
      <c r="M27" s="154">
        <v>0.08</v>
      </c>
      <c r="N27" s="137"/>
    </row>
    <row r="28" spans="1:14" x14ac:dyDescent="0.3">
      <c r="A28" s="137"/>
      <c r="B28" s="134">
        <f>IF(control!A25="","",control!A25)</f>
        <v>17</v>
      </c>
      <c r="C28" s="146" t="str">
        <f>IFERROR(IF(control!C25="","",control!C25),0)</f>
        <v>Nov-20</v>
      </c>
      <c r="D28" s="147">
        <f t="shared" ca="1" si="0"/>
        <v>45600</v>
      </c>
      <c r="E28" s="151"/>
      <c r="F28" s="152">
        <v>0.17</v>
      </c>
      <c r="G28" s="152">
        <v>0.08</v>
      </c>
      <c r="H28" s="148"/>
      <c r="I28" s="149" t="str">
        <f t="shared" si="1"/>
        <v>Nov-20</v>
      </c>
      <c r="J28" s="150">
        <f>IF(I28="","",IF(AND(MASTER!$I$14="Regular",LEFT(I28,3)="Jul"),MROUND(J27*103%,100),J27))</f>
        <v>47900</v>
      </c>
      <c r="K28" s="153"/>
      <c r="L28" s="154">
        <v>0.17</v>
      </c>
      <c r="M28" s="154">
        <v>0.08</v>
      </c>
      <c r="N28" s="137"/>
    </row>
    <row r="29" spans="1:14" x14ac:dyDescent="0.3">
      <c r="A29" s="137"/>
      <c r="B29" s="134">
        <f>IF(control!A26="","",control!A26)</f>
        <v>18</v>
      </c>
      <c r="C29" s="146" t="str">
        <f>IFERROR(IF(control!C26="","",control!C26),0)</f>
        <v>Dec-20</v>
      </c>
      <c r="D29" s="147">
        <f t="shared" ca="1" si="0"/>
        <v>45600</v>
      </c>
      <c r="E29" s="151"/>
      <c r="F29" s="152">
        <v>0.17</v>
      </c>
      <c r="G29" s="152">
        <v>0.08</v>
      </c>
      <c r="H29" s="148"/>
      <c r="I29" s="149" t="str">
        <f t="shared" si="1"/>
        <v>Dec-20</v>
      </c>
      <c r="J29" s="150">
        <f>IF(I29="","",IF(AND(MASTER!$I$14="Regular",LEFT(I29,3)="Jul"),MROUND(J28*103%,100),J28))</f>
        <v>47900</v>
      </c>
      <c r="K29" s="153"/>
      <c r="L29" s="154">
        <v>0.17</v>
      </c>
      <c r="M29" s="154">
        <v>0.08</v>
      </c>
      <c r="N29" s="137"/>
    </row>
    <row r="30" spans="1:14" x14ac:dyDescent="0.3">
      <c r="A30" s="137"/>
      <c r="B30" s="134">
        <f>IF(control!A27="","",control!A27)</f>
        <v>19</v>
      </c>
      <c r="C30" s="146" t="str">
        <f>IFERROR(IF(control!C27="","",control!C27),0)</f>
        <v>Jan-21</v>
      </c>
      <c r="D30" s="147">
        <f t="shared" ca="1" si="0"/>
        <v>45600</v>
      </c>
      <c r="E30" s="151"/>
      <c r="F30" s="152">
        <v>0.17</v>
      </c>
      <c r="G30" s="152">
        <v>0.08</v>
      </c>
      <c r="H30" s="148"/>
      <c r="I30" s="149" t="str">
        <f t="shared" si="1"/>
        <v>Jan-21</v>
      </c>
      <c r="J30" s="150">
        <f>IF(I30="","",IF(AND(MASTER!$I$14="Regular",LEFT(I30,3)="Jul"),MROUND(J29*103%,100),J29))</f>
        <v>47900</v>
      </c>
      <c r="K30" s="153"/>
      <c r="L30" s="154">
        <v>0.17</v>
      </c>
      <c r="M30" s="154">
        <v>0.08</v>
      </c>
      <c r="N30" s="137"/>
    </row>
    <row r="31" spans="1:14" x14ac:dyDescent="0.3">
      <c r="A31" s="137"/>
      <c r="B31" s="134">
        <f>IF(control!A28="","",control!A28)</f>
        <v>20</v>
      </c>
      <c r="C31" s="146" t="str">
        <f>IFERROR(IF(control!C28="","",control!C28),0)</f>
        <v>Feb-21</v>
      </c>
      <c r="D31" s="147">
        <f t="shared" ca="1" si="0"/>
        <v>45600</v>
      </c>
      <c r="E31" s="151"/>
      <c r="F31" s="152">
        <v>0.17</v>
      </c>
      <c r="G31" s="152">
        <v>0.08</v>
      </c>
      <c r="H31" s="148"/>
      <c r="I31" s="149" t="str">
        <f t="shared" si="1"/>
        <v>Feb-21</v>
      </c>
      <c r="J31" s="150">
        <f>IF(I31="","",IF(AND(MASTER!$I$14="Regular",LEFT(I31,3)="Jul"),MROUND(J30*103%,100),J30))</f>
        <v>47900</v>
      </c>
      <c r="K31" s="153"/>
      <c r="L31" s="154">
        <v>0.17</v>
      </c>
      <c r="M31" s="154">
        <v>0.08</v>
      </c>
      <c r="N31" s="137"/>
    </row>
    <row r="32" spans="1:14" x14ac:dyDescent="0.3">
      <c r="A32" s="137"/>
      <c r="B32" s="134">
        <f>IF(control!A29="","",control!A29)</f>
        <v>21</v>
      </c>
      <c r="C32" s="146" t="str">
        <f>IFERROR(IF(control!C29="","",control!C29),0)</f>
        <v>Mar-21</v>
      </c>
      <c r="D32" s="147">
        <f t="shared" ca="1" si="0"/>
        <v>45600</v>
      </c>
      <c r="E32" s="151"/>
      <c r="F32" s="152">
        <v>0.17</v>
      </c>
      <c r="G32" s="152">
        <v>0.08</v>
      </c>
      <c r="H32" s="148"/>
      <c r="I32" s="149" t="str">
        <f t="shared" si="1"/>
        <v>Mar-21</v>
      </c>
      <c r="J32" s="150">
        <f>IF(I32="","",IF(AND(MASTER!$I$14="Regular",LEFT(I32,3)="Jul"),MROUND(J31*103%,100),J31))</f>
        <v>47900</v>
      </c>
      <c r="K32" s="153"/>
      <c r="L32" s="154">
        <v>0.17</v>
      </c>
      <c r="M32" s="154">
        <v>0.08</v>
      </c>
      <c r="N32" s="137"/>
    </row>
    <row r="33" spans="1:14" x14ac:dyDescent="0.3">
      <c r="A33" s="137"/>
      <c r="B33" s="134">
        <f>IF(control!A30="","",control!A30)</f>
        <v>22</v>
      </c>
      <c r="C33" s="146" t="str">
        <f>IFERROR(IF(control!C30="","",control!C30),0)</f>
        <v>Apr-21</v>
      </c>
      <c r="D33" s="147">
        <f t="shared" ca="1" si="0"/>
        <v>45600</v>
      </c>
      <c r="E33" s="151"/>
      <c r="F33" s="152">
        <v>0.17</v>
      </c>
      <c r="G33" s="152">
        <v>0.08</v>
      </c>
      <c r="H33" s="148"/>
      <c r="I33" s="149" t="str">
        <f t="shared" si="1"/>
        <v>Apr-21</v>
      </c>
      <c r="J33" s="150">
        <f>IF(I33="","",IF(AND(MASTER!$I$14="Regular",LEFT(I33,3)="Jul"),MROUND(J32*103%,100),J32))</f>
        <v>47900</v>
      </c>
      <c r="K33" s="153"/>
      <c r="L33" s="154">
        <v>0.17</v>
      </c>
      <c r="M33" s="154">
        <v>0.08</v>
      </c>
      <c r="N33" s="137"/>
    </row>
    <row r="34" spans="1:14" x14ac:dyDescent="0.3">
      <c r="A34" s="137"/>
      <c r="B34" s="134">
        <f>IF(control!A31="","",control!A31)</f>
        <v>23</v>
      </c>
      <c r="C34" s="146" t="str">
        <f>IFERROR(IF(control!C31="","",control!C31),0)</f>
        <v>May-21</v>
      </c>
      <c r="D34" s="147">
        <f t="shared" ca="1" si="0"/>
        <v>45600</v>
      </c>
      <c r="E34" s="151"/>
      <c r="F34" s="152">
        <v>0.17</v>
      </c>
      <c r="G34" s="152">
        <v>0.08</v>
      </c>
      <c r="H34" s="148"/>
      <c r="I34" s="149" t="str">
        <f t="shared" si="1"/>
        <v>May-21</v>
      </c>
      <c r="J34" s="150">
        <f>IF(I34="","",IF(AND(MASTER!$I$14="Regular",LEFT(I34,3)="Jul"),MROUND(J33*103%,100),J33))</f>
        <v>47900</v>
      </c>
      <c r="K34" s="153"/>
      <c r="L34" s="154">
        <v>0.17</v>
      </c>
      <c r="M34" s="154">
        <v>0.08</v>
      </c>
      <c r="N34" s="137"/>
    </row>
    <row r="35" spans="1:14" x14ac:dyDescent="0.3">
      <c r="A35" s="137"/>
      <c r="B35" s="134">
        <f>IF(control!A32="","",control!A32)</f>
        <v>24</v>
      </c>
      <c r="C35" s="146" t="str">
        <f>IFERROR(IF(control!C32="","",control!C32),0)</f>
        <v>Jun-21</v>
      </c>
      <c r="D35" s="147">
        <f t="shared" ca="1" si="0"/>
        <v>45600</v>
      </c>
      <c r="E35" s="151"/>
      <c r="F35" s="152">
        <v>0.17</v>
      </c>
      <c r="G35" s="152">
        <v>0.08</v>
      </c>
      <c r="H35" s="148"/>
      <c r="I35" s="149" t="str">
        <f t="shared" si="1"/>
        <v>Jun-21</v>
      </c>
      <c r="J35" s="150">
        <f>IF(I35="","",IF(AND(MASTER!$I$14="Regular",LEFT(I35,3)="Jul"),MROUND(J34*103%,100),J34))</f>
        <v>47900</v>
      </c>
      <c r="K35" s="153"/>
      <c r="L35" s="154">
        <v>0.17</v>
      </c>
      <c r="M35" s="154">
        <v>0.08</v>
      </c>
      <c r="N35" s="137"/>
    </row>
    <row r="36" spans="1:14" x14ac:dyDescent="0.3">
      <c r="A36" s="137"/>
      <c r="B36" s="134">
        <f>IF(control!A33="","",control!A33)</f>
        <v>25</v>
      </c>
      <c r="C36" s="146" t="str">
        <f>IFERROR(IF(control!C33="","",control!C33),0)</f>
        <v>Jul-21</v>
      </c>
      <c r="D36" s="147">
        <f t="shared" ca="1" si="0"/>
        <v>47000</v>
      </c>
      <c r="E36" s="151"/>
      <c r="F36" s="152">
        <v>0.17</v>
      </c>
      <c r="G36" s="152">
        <v>0.08</v>
      </c>
      <c r="H36" s="148"/>
      <c r="I36" s="149" t="str">
        <f t="shared" ref="I36:I59" si="2">C36</f>
        <v>Jul-21</v>
      </c>
      <c r="J36" s="150">
        <f>IF(I36="","",IF(AND(MASTER!$I$14="Regular",LEFT(I36,3)="Jul"),MROUND(J35*103%,100),J35))</f>
        <v>49300</v>
      </c>
      <c r="K36" s="153"/>
      <c r="L36" s="154">
        <v>0.17</v>
      </c>
      <c r="M36" s="154">
        <v>0.08</v>
      </c>
      <c r="N36" s="137"/>
    </row>
    <row r="37" spans="1:14" x14ac:dyDescent="0.3">
      <c r="A37" s="137"/>
      <c r="B37" s="134">
        <f>IF(control!A34="","",control!A34)</f>
        <v>26</v>
      </c>
      <c r="C37" s="146" t="str">
        <f>IFERROR(IF(control!C34="","",control!C34),0)</f>
        <v>Aug-21</v>
      </c>
      <c r="D37" s="147">
        <f t="shared" ca="1" si="0"/>
        <v>47000</v>
      </c>
      <c r="E37" s="151"/>
      <c r="F37" s="152">
        <v>0.17</v>
      </c>
      <c r="G37" s="152">
        <v>0.08</v>
      </c>
      <c r="H37" s="148"/>
      <c r="I37" s="149" t="str">
        <f t="shared" si="2"/>
        <v>Aug-21</v>
      </c>
      <c r="J37" s="150">
        <f>IF(I37="","",IF(AND(MASTER!$I$14="Regular",LEFT(I37,3)="Jul"),MROUND(J36*103%,100),J36))</f>
        <v>49300</v>
      </c>
      <c r="K37" s="153"/>
      <c r="L37" s="154">
        <v>0.17</v>
      </c>
      <c r="M37" s="154">
        <v>0.08</v>
      </c>
      <c r="N37" s="137"/>
    </row>
    <row r="38" spans="1:14" x14ac:dyDescent="0.3">
      <c r="A38" s="137"/>
      <c r="B38" s="134">
        <f>IF(control!A35="","",control!A35)</f>
        <v>27</v>
      </c>
      <c r="C38" s="146" t="str">
        <f>IFERROR(IF(control!C35="","",control!C35),0)</f>
        <v>Sep-21</v>
      </c>
      <c r="D38" s="147">
        <f t="shared" ca="1" si="0"/>
        <v>47000</v>
      </c>
      <c r="E38" s="151"/>
      <c r="F38" s="152">
        <v>0.17</v>
      </c>
      <c r="G38" s="152">
        <v>0.08</v>
      </c>
      <c r="H38" s="148"/>
      <c r="I38" s="149" t="str">
        <f t="shared" si="2"/>
        <v>Sep-21</v>
      </c>
      <c r="J38" s="150">
        <f>IF(I38="","",IF(AND(MASTER!$I$14="Regular",LEFT(I38,3)="Jul"),MROUND(J37*103%,100),J37))</f>
        <v>49300</v>
      </c>
      <c r="K38" s="153"/>
      <c r="L38" s="154">
        <v>0.17</v>
      </c>
      <c r="M38" s="154">
        <v>0.08</v>
      </c>
      <c r="N38" s="137"/>
    </row>
    <row r="39" spans="1:14" x14ac:dyDescent="0.3">
      <c r="A39" s="137"/>
      <c r="B39" s="134">
        <f>IF(control!A36="","",control!A36)</f>
        <v>28</v>
      </c>
      <c r="C39" s="146" t="str">
        <f>IFERROR(IF(control!C36="","",control!C36),0)</f>
        <v>Oct-21</v>
      </c>
      <c r="D39" s="147">
        <f t="shared" ca="1" si="0"/>
        <v>47000</v>
      </c>
      <c r="E39" s="151"/>
      <c r="F39" s="152">
        <v>0.17</v>
      </c>
      <c r="G39" s="152">
        <v>0.08</v>
      </c>
      <c r="H39" s="148"/>
      <c r="I39" s="149" t="str">
        <f t="shared" si="2"/>
        <v>Oct-21</v>
      </c>
      <c r="J39" s="150">
        <f>IF(I39="","",IF(AND(MASTER!$I$14="Regular",LEFT(I39,3)="Jul"),MROUND(J38*103%,100),J38))</f>
        <v>49300</v>
      </c>
      <c r="K39" s="153"/>
      <c r="L39" s="154">
        <v>0.17</v>
      </c>
      <c r="M39" s="154">
        <v>0.08</v>
      </c>
      <c r="N39" s="137"/>
    </row>
    <row r="40" spans="1:14" x14ac:dyDescent="0.3">
      <c r="A40" s="137"/>
      <c r="B40" s="134">
        <f>IF(control!A37="","",control!A37)</f>
        <v>29</v>
      </c>
      <c r="C40" s="146" t="str">
        <f>IFERROR(IF(control!C37="","",control!C37),0)</f>
        <v>Nov-21</v>
      </c>
      <c r="D40" s="147">
        <f t="shared" ca="1" si="0"/>
        <v>47000</v>
      </c>
      <c r="E40" s="151"/>
      <c r="F40" s="152">
        <v>0.17</v>
      </c>
      <c r="G40" s="152">
        <v>0.08</v>
      </c>
      <c r="H40" s="148"/>
      <c r="I40" s="149" t="str">
        <f t="shared" si="2"/>
        <v>Nov-21</v>
      </c>
      <c r="J40" s="150">
        <f>IF(I40="","",IF(AND(MASTER!$I$14="Regular",LEFT(I40,3)="Jul"),MROUND(J39*103%,100),J39))</f>
        <v>49300</v>
      </c>
      <c r="K40" s="153"/>
      <c r="L40" s="154">
        <v>0.17</v>
      </c>
      <c r="M40" s="154">
        <v>0.08</v>
      </c>
      <c r="N40" s="137"/>
    </row>
    <row r="41" spans="1:14" x14ac:dyDescent="0.3">
      <c r="A41" s="137"/>
      <c r="B41" s="134">
        <f>IF(control!A38="","",control!A38)</f>
        <v>30</v>
      </c>
      <c r="C41" s="146" t="str">
        <f>IFERROR(IF(control!C38="","",control!C38),0)</f>
        <v>Dec-21</v>
      </c>
      <c r="D41" s="147">
        <f t="shared" ca="1" si="0"/>
        <v>47000</v>
      </c>
      <c r="E41" s="151"/>
      <c r="F41" s="152">
        <v>0.17</v>
      </c>
      <c r="G41" s="152">
        <v>0.08</v>
      </c>
      <c r="H41" s="148"/>
      <c r="I41" s="149" t="str">
        <f t="shared" si="2"/>
        <v>Dec-21</v>
      </c>
      <c r="J41" s="150">
        <f>IF(I41="","",IF(AND(MASTER!$I$14="Regular",LEFT(I41,3)="Jul"),MROUND(J40*103%,100),J40))</f>
        <v>49300</v>
      </c>
      <c r="K41" s="153"/>
      <c r="L41" s="154">
        <v>0.17</v>
      </c>
      <c r="M41" s="154">
        <v>0.08</v>
      </c>
      <c r="N41" s="137"/>
    </row>
    <row r="42" spans="1:14" x14ac:dyDescent="0.3">
      <c r="A42" s="137"/>
      <c r="B42" s="134">
        <f>IF(control!A39="","",control!A39)</f>
        <v>31</v>
      </c>
      <c r="C42" s="146" t="str">
        <f>IFERROR(IF(control!C39="","",control!C39),0)</f>
        <v>Jan-22</v>
      </c>
      <c r="D42" s="147">
        <f t="shared" ca="1" si="0"/>
        <v>47000</v>
      </c>
      <c r="E42" s="151"/>
      <c r="F42" s="152">
        <v>0.17</v>
      </c>
      <c r="G42" s="152">
        <v>0.08</v>
      </c>
      <c r="H42" s="148"/>
      <c r="I42" s="149" t="str">
        <f t="shared" si="2"/>
        <v>Jan-22</v>
      </c>
      <c r="J42" s="150">
        <f>IF(I42="","",IF(AND(MASTER!$I$14="Regular",LEFT(I42,3)="Jul"),MROUND(J41*103%,100),J41))</f>
        <v>49300</v>
      </c>
      <c r="K42" s="153"/>
      <c r="L42" s="154">
        <v>0.17</v>
      </c>
      <c r="M42" s="154">
        <v>0.08</v>
      </c>
      <c r="N42" s="137"/>
    </row>
    <row r="43" spans="1:14" x14ac:dyDescent="0.3">
      <c r="A43" s="137"/>
      <c r="B43" s="134">
        <f>IF(control!A40="","",control!A40)</f>
        <v>32</v>
      </c>
      <c r="C43" s="146" t="str">
        <f>IFERROR(IF(control!C40="","",control!C40),0)</f>
        <v>Feb-22</v>
      </c>
      <c r="D43" s="147">
        <f t="shared" ca="1" si="0"/>
        <v>47000</v>
      </c>
      <c r="E43" s="151"/>
      <c r="F43" s="152">
        <v>0.17</v>
      </c>
      <c r="G43" s="152">
        <v>0.08</v>
      </c>
      <c r="H43" s="148"/>
      <c r="I43" s="149" t="str">
        <f t="shared" si="2"/>
        <v>Feb-22</v>
      </c>
      <c r="J43" s="150">
        <f>IF(I43="","",IF(AND(MASTER!$I$14="Regular",LEFT(I43,3)="Jul"),MROUND(J42*103%,100),J42))</f>
        <v>49300</v>
      </c>
      <c r="K43" s="153"/>
      <c r="L43" s="154">
        <v>0.17</v>
      </c>
      <c r="M43" s="154">
        <v>0.08</v>
      </c>
      <c r="N43" s="137"/>
    </row>
    <row r="44" spans="1:14" x14ac:dyDescent="0.3">
      <c r="A44" s="137"/>
      <c r="B44" s="134">
        <f>IF(control!A41="","",control!A41)</f>
        <v>33</v>
      </c>
      <c r="C44" s="146" t="str">
        <f>IFERROR(IF(control!C41="","",control!C41),0)</f>
        <v>Mar-22</v>
      </c>
      <c r="D44" s="147">
        <f t="shared" ca="1" si="0"/>
        <v>47000</v>
      </c>
      <c r="E44" s="151"/>
      <c r="F44" s="152">
        <v>0.17</v>
      </c>
      <c r="G44" s="152">
        <v>0.08</v>
      </c>
      <c r="H44" s="148"/>
      <c r="I44" s="149" t="str">
        <f t="shared" si="2"/>
        <v>Mar-22</v>
      </c>
      <c r="J44" s="150">
        <f>IF(I44="","",IF(AND(MASTER!$I$14="Regular",LEFT(I44,3)="Jul"),MROUND(J43*103%,100),J43))</f>
        <v>49300</v>
      </c>
      <c r="K44" s="153"/>
      <c r="L44" s="154">
        <v>0.17</v>
      </c>
      <c r="M44" s="154">
        <v>0.08</v>
      </c>
      <c r="N44" s="137"/>
    </row>
    <row r="45" spans="1:14" x14ac:dyDescent="0.3">
      <c r="A45" s="137"/>
      <c r="B45" s="134">
        <f>IF(control!A42="","",control!A42)</f>
        <v>34</v>
      </c>
      <c r="C45" s="146" t="str">
        <f>IFERROR(IF(control!C42="","",control!C42),0)</f>
        <v>Apr-22</v>
      </c>
      <c r="D45" s="147">
        <f t="shared" ca="1" si="0"/>
        <v>47000</v>
      </c>
      <c r="E45" s="151"/>
      <c r="F45" s="152">
        <v>0.17</v>
      </c>
      <c r="G45" s="152">
        <v>0.08</v>
      </c>
      <c r="H45" s="148"/>
      <c r="I45" s="149" t="str">
        <f t="shared" si="2"/>
        <v>Apr-22</v>
      </c>
      <c r="J45" s="150">
        <f>IF(I45="","",IF(AND(MASTER!$I$14="Regular",LEFT(I45,3)="Jul"),MROUND(J44*103%,100),J44))</f>
        <v>49300</v>
      </c>
      <c r="K45" s="153"/>
      <c r="L45" s="154">
        <v>0.17</v>
      </c>
      <c r="M45" s="154">
        <v>0.08</v>
      </c>
      <c r="N45" s="137"/>
    </row>
    <row r="46" spans="1:14" x14ac:dyDescent="0.3">
      <c r="A46" s="137"/>
      <c r="B46" s="134">
        <f>IF(control!A43="","",control!A43)</f>
        <v>35</v>
      </c>
      <c r="C46" s="146" t="str">
        <f>IFERROR(IF(control!C43="","",control!C43),0)</f>
        <v>May-22</v>
      </c>
      <c r="D46" s="147">
        <f t="shared" ca="1" si="0"/>
        <v>47000</v>
      </c>
      <c r="E46" s="151"/>
      <c r="F46" s="152">
        <v>0.17</v>
      </c>
      <c r="G46" s="152">
        <v>0.08</v>
      </c>
      <c r="H46" s="148"/>
      <c r="I46" s="149" t="str">
        <f t="shared" si="2"/>
        <v>May-22</v>
      </c>
      <c r="J46" s="150">
        <f>IF(I46="","",IF(AND(MASTER!$I$14="Regular",LEFT(I46,3)="Jul"),MROUND(J45*103%,100),J45))</f>
        <v>49300</v>
      </c>
      <c r="K46" s="153"/>
      <c r="L46" s="154">
        <v>0.17</v>
      </c>
      <c r="M46" s="154">
        <v>0.08</v>
      </c>
      <c r="N46" s="137"/>
    </row>
    <row r="47" spans="1:14" x14ac:dyDescent="0.3">
      <c r="A47" s="137"/>
      <c r="B47" s="134">
        <f>IF(control!A44="","",control!A44)</f>
        <v>36</v>
      </c>
      <c r="C47" s="146" t="str">
        <f>IFERROR(IF(control!C44="","",control!C44),0)</f>
        <v>Jun-22</v>
      </c>
      <c r="D47" s="147">
        <f t="shared" ca="1" si="0"/>
        <v>47000</v>
      </c>
      <c r="E47" s="151"/>
      <c r="F47" s="152">
        <v>0.17</v>
      </c>
      <c r="G47" s="152">
        <v>0.08</v>
      </c>
      <c r="H47" s="148"/>
      <c r="I47" s="149" t="str">
        <f t="shared" si="2"/>
        <v>Jun-22</v>
      </c>
      <c r="J47" s="150">
        <f>IF(I47="","",IF(AND(MASTER!$I$14="Regular",LEFT(I47,3)="Jul"),MROUND(J46*103%,100),J46))</f>
        <v>49300</v>
      </c>
      <c r="K47" s="153"/>
      <c r="L47" s="154">
        <v>0.17</v>
      </c>
      <c r="M47" s="154">
        <v>0.08</v>
      </c>
      <c r="N47" s="137"/>
    </row>
    <row r="48" spans="1:14" x14ac:dyDescent="0.3">
      <c r="A48" s="137"/>
      <c r="B48" s="134">
        <f>IF(control!A45="","",control!A45)</f>
        <v>37</v>
      </c>
      <c r="C48" s="146" t="str">
        <f>IFERROR(IF(control!C45="","",control!C45),0)</f>
        <v>Jul-22</v>
      </c>
      <c r="D48" s="147">
        <f t="shared" ref="D48:D56" ca="1" si="3">IF(C48="","",IF(LEFT(C48,3)="Jul",MROUND(D47*103%,100),D47))</f>
        <v>48400</v>
      </c>
      <c r="E48" s="151"/>
      <c r="F48" s="152">
        <v>0.17</v>
      </c>
      <c r="G48" s="152">
        <v>0.08</v>
      </c>
      <c r="H48" s="148"/>
      <c r="I48" s="149" t="str">
        <f t="shared" si="2"/>
        <v>Jul-22</v>
      </c>
      <c r="J48" s="150">
        <f>IF(I48="","",IF(AND(MASTER!$I$14="Regular",LEFT(I48,3)="Jul"),MROUND(J47*103%,100),J47))</f>
        <v>50800</v>
      </c>
      <c r="K48" s="153"/>
      <c r="L48" s="154">
        <v>0.17</v>
      </c>
      <c r="M48" s="154">
        <v>0.08</v>
      </c>
      <c r="N48" s="137"/>
    </row>
    <row r="49" spans="1:14" x14ac:dyDescent="0.3">
      <c r="A49" s="137"/>
      <c r="B49" s="134">
        <f>IF(control!A46="","",control!A46)</f>
        <v>38</v>
      </c>
      <c r="C49" s="146" t="str">
        <f>IFERROR(IF(control!C46="","",control!C46),0)</f>
        <v>Aug-22</v>
      </c>
      <c r="D49" s="147">
        <f t="shared" ca="1" si="3"/>
        <v>48400</v>
      </c>
      <c r="E49" s="151"/>
      <c r="F49" s="152">
        <v>0.17</v>
      </c>
      <c r="G49" s="152">
        <v>0.08</v>
      </c>
      <c r="H49" s="148"/>
      <c r="I49" s="149" t="str">
        <f t="shared" si="2"/>
        <v>Aug-22</v>
      </c>
      <c r="J49" s="150">
        <f>IF(I49="","",IF(AND(MASTER!$I$14="Regular",LEFT(I49,3)="Jul"),MROUND(J48*103%,100),J48))</f>
        <v>50800</v>
      </c>
      <c r="K49" s="153"/>
      <c r="L49" s="154">
        <v>0.17</v>
      </c>
      <c r="M49" s="154">
        <v>0.08</v>
      </c>
      <c r="N49" s="137"/>
    </row>
    <row r="50" spans="1:14" x14ac:dyDescent="0.3">
      <c r="A50" s="137"/>
      <c r="B50" s="134">
        <f>IF(control!A47="","",control!A47)</f>
        <v>39</v>
      </c>
      <c r="C50" s="146" t="str">
        <f>IFERROR(IF(control!C47="","",control!C47),0)</f>
        <v>Sep-22</v>
      </c>
      <c r="D50" s="147">
        <f t="shared" ca="1" si="3"/>
        <v>48400</v>
      </c>
      <c r="E50" s="151"/>
      <c r="F50" s="152">
        <v>0.17</v>
      </c>
      <c r="G50" s="152">
        <v>0.08</v>
      </c>
      <c r="H50" s="148"/>
      <c r="I50" s="149" t="str">
        <f t="shared" si="2"/>
        <v>Sep-22</v>
      </c>
      <c r="J50" s="150">
        <f>IF(I50="","",IF(AND(MASTER!$I$14="Regular",LEFT(I50,3)="Jul"),MROUND(J49*103%,100),J49))</f>
        <v>50800</v>
      </c>
      <c r="K50" s="153"/>
      <c r="L50" s="154">
        <v>0.17</v>
      </c>
      <c r="M50" s="154">
        <v>0.08</v>
      </c>
      <c r="N50" s="137"/>
    </row>
    <row r="51" spans="1:14" x14ac:dyDescent="0.3">
      <c r="A51" s="137"/>
      <c r="B51" s="134">
        <f>IF(control!A48="","",control!A48)</f>
        <v>40</v>
      </c>
      <c r="C51" s="146" t="str">
        <f>IFERROR(IF(control!C48="","",control!C48),0)</f>
        <v>Oct-22</v>
      </c>
      <c r="D51" s="147">
        <f t="shared" ca="1" si="3"/>
        <v>48400</v>
      </c>
      <c r="E51" s="151"/>
      <c r="F51" s="152">
        <v>0.17</v>
      </c>
      <c r="G51" s="152">
        <v>0.08</v>
      </c>
      <c r="H51" s="148"/>
      <c r="I51" s="149" t="str">
        <f t="shared" si="2"/>
        <v>Oct-22</v>
      </c>
      <c r="J51" s="150">
        <f>IF(I51="","",IF(AND(MASTER!$I$14="Regular",LEFT(I51,3)="Jul"),MROUND(J50*103%,100),J50))</f>
        <v>50800</v>
      </c>
      <c r="K51" s="153"/>
      <c r="L51" s="154">
        <v>0.17</v>
      </c>
      <c r="M51" s="154">
        <v>0.08</v>
      </c>
      <c r="N51" s="137"/>
    </row>
    <row r="52" spans="1:14" x14ac:dyDescent="0.3">
      <c r="A52" s="137"/>
      <c r="B52" s="134">
        <f>IF(control!A49="","",control!A49)</f>
        <v>41</v>
      </c>
      <c r="C52" s="146" t="str">
        <f>IFERROR(IF(control!C49="","",control!C49),0)</f>
        <v>Nov-22</v>
      </c>
      <c r="D52" s="147">
        <f t="shared" ca="1" si="3"/>
        <v>48400</v>
      </c>
      <c r="E52" s="151"/>
      <c r="F52" s="152">
        <v>0.17</v>
      </c>
      <c r="G52" s="152">
        <v>0.08</v>
      </c>
      <c r="H52" s="148"/>
      <c r="I52" s="149" t="str">
        <f t="shared" si="2"/>
        <v>Nov-22</v>
      </c>
      <c r="J52" s="150">
        <f>IF(I52="","",IF(AND(MASTER!$I$14="Regular",LEFT(I52,3)="Jul"),MROUND(J51*103%,100),J51))</f>
        <v>50800</v>
      </c>
      <c r="K52" s="153"/>
      <c r="L52" s="154">
        <v>0.17</v>
      </c>
      <c r="M52" s="154">
        <v>0.08</v>
      </c>
      <c r="N52" s="137"/>
    </row>
    <row r="53" spans="1:14" x14ac:dyDescent="0.3">
      <c r="A53" s="137"/>
      <c r="B53" s="134">
        <f>IF(control!A50="","",control!A50)</f>
        <v>42</v>
      </c>
      <c r="C53" s="146" t="str">
        <f>IFERROR(IF(control!C50="","",control!C50),0)</f>
        <v>Dec-22</v>
      </c>
      <c r="D53" s="147">
        <f t="shared" ca="1" si="3"/>
        <v>48400</v>
      </c>
      <c r="E53" s="151"/>
      <c r="F53" s="152">
        <v>0.17</v>
      </c>
      <c r="G53" s="152">
        <v>0.08</v>
      </c>
      <c r="H53" s="148"/>
      <c r="I53" s="149" t="str">
        <f t="shared" si="2"/>
        <v>Dec-22</v>
      </c>
      <c r="J53" s="150">
        <f>IF(I53="","",IF(AND(MASTER!$I$14="Regular",LEFT(I53,3)="Jul"),MROUND(J52*103%,100),J52))</f>
        <v>50800</v>
      </c>
      <c r="K53" s="153"/>
      <c r="L53" s="154">
        <v>0.17</v>
      </c>
      <c r="M53" s="154">
        <v>0.08</v>
      </c>
      <c r="N53" s="137"/>
    </row>
    <row r="54" spans="1:14" x14ac:dyDescent="0.3">
      <c r="A54" s="137"/>
      <c r="B54" s="134">
        <f>IF(control!A51="","",control!A51)</f>
        <v>43</v>
      </c>
      <c r="C54" s="146" t="str">
        <f>IFERROR(IF(control!C51="","",control!C51),0)</f>
        <v>Jan-23</v>
      </c>
      <c r="D54" s="147">
        <f t="shared" ca="1" si="3"/>
        <v>48400</v>
      </c>
      <c r="E54" s="151"/>
      <c r="F54" s="152">
        <v>0.17</v>
      </c>
      <c r="G54" s="152">
        <v>0.08</v>
      </c>
      <c r="H54" s="148"/>
      <c r="I54" s="149" t="str">
        <f t="shared" si="2"/>
        <v>Jan-23</v>
      </c>
      <c r="J54" s="150">
        <f>IF(I54="","",IF(AND(MASTER!$I$14="Regular",LEFT(I54,3)="Jul"),MROUND(J53*103%,100),J53))</f>
        <v>50800</v>
      </c>
      <c r="K54" s="153"/>
      <c r="L54" s="154">
        <v>0.17</v>
      </c>
      <c r="M54" s="154">
        <v>0.08</v>
      </c>
      <c r="N54" s="137"/>
    </row>
    <row r="55" spans="1:14" x14ac:dyDescent="0.3">
      <c r="A55" s="137"/>
      <c r="B55" s="134" t="str">
        <f>IF(control!A52="","",control!A52)</f>
        <v/>
      </c>
      <c r="C55" s="146" t="str">
        <f>IFERROR(IF(control!C52="","",control!C52),0)</f>
        <v/>
      </c>
      <c r="D55" s="147" t="str">
        <f t="shared" si="3"/>
        <v/>
      </c>
      <c r="E55" s="151"/>
      <c r="F55" s="152">
        <v>0.17</v>
      </c>
      <c r="G55" s="152">
        <v>0.08</v>
      </c>
      <c r="H55" s="148"/>
      <c r="I55" s="149" t="str">
        <f t="shared" si="2"/>
        <v/>
      </c>
      <c r="J55" s="150" t="str">
        <f>IF(I55="","",IF(AND(MASTER!$I$14="Regular",LEFT(I55,3)="Jul"),MROUND(J54*103%,100),J54))</f>
        <v/>
      </c>
      <c r="K55" s="153"/>
      <c r="L55" s="154">
        <v>0.17</v>
      </c>
      <c r="M55" s="154">
        <v>0.08</v>
      </c>
      <c r="N55" s="137"/>
    </row>
    <row r="56" spans="1:14" x14ac:dyDescent="0.3">
      <c r="A56" s="137"/>
      <c r="B56" s="134" t="str">
        <f>IF(control!A53="","",control!A53)</f>
        <v/>
      </c>
      <c r="C56" s="146" t="str">
        <f>IFERROR(IF(control!C53="","",control!C53),0)</f>
        <v/>
      </c>
      <c r="D56" s="147" t="str">
        <f t="shared" si="3"/>
        <v/>
      </c>
      <c r="E56" s="151"/>
      <c r="F56" s="152">
        <v>0.17</v>
      </c>
      <c r="G56" s="152">
        <v>0.08</v>
      </c>
      <c r="H56" s="148"/>
      <c r="I56" s="149" t="str">
        <f t="shared" si="2"/>
        <v/>
      </c>
      <c r="J56" s="150" t="str">
        <f>IF(I56="","",IF(AND(MASTER!$I$14="Regular",LEFT(I56,3)="Jul"),MROUND(J55*103%,100),J55))</f>
        <v/>
      </c>
      <c r="K56" s="153"/>
      <c r="L56" s="154">
        <v>0.17</v>
      </c>
      <c r="M56" s="154">
        <v>0.08</v>
      </c>
      <c r="N56" s="137"/>
    </row>
    <row r="57" spans="1:14" x14ac:dyDescent="0.3">
      <c r="A57" s="137"/>
      <c r="B57" s="134" t="str">
        <f>IF(control!A54="","",control!A54)</f>
        <v/>
      </c>
      <c r="C57" s="146" t="str">
        <f>IFERROR(IF(control!C54="","",control!C54),0)</f>
        <v/>
      </c>
      <c r="D57" s="147" t="str">
        <f t="shared" ref="D57:D59" si="4">IF(C57="","",IF(LEFT(C57,3)="Jul",MROUND(D56*103%,100),D56))</f>
        <v/>
      </c>
      <c r="E57" s="151"/>
      <c r="F57" s="152">
        <v>0.17</v>
      </c>
      <c r="G57" s="152">
        <v>0.08</v>
      </c>
      <c r="H57" s="148"/>
      <c r="I57" s="149" t="str">
        <f t="shared" si="2"/>
        <v/>
      </c>
      <c r="J57" s="150" t="str">
        <f>IF(I57="","",IF(AND(MASTER!$I$14="Regular",LEFT(I57,3)="Jul"),MROUND(J56*103%,100),J56))</f>
        <v/>
      </c>
      <c r="K57" s="153"/>
      <c r="L57" s="154">
        <v>0.17</v>
      </c>
      <c r="M57" s="154">
        <v>0.08</v>
      </c>
      <c r="N57" s="137"/>
    </row>
    <row r="58" spans="1:14" x14ac:dyDescent="0.3">
      <c r="A58" s="137"/>
      <c r="B58" s="134" t="str">
        <f>IF(control!A55="","",control!A55)</f>
        <v/>
      </c>
      <c r="C58" s="146" t="str">
        <f>IFERROR(IF(control!C55="","",control!C55),0)</f>
        <v/>
      </c>
      <c r="D58" s="147" t="str">
        <f t="shared" si="4"/>
        <v/>
      </c>
      <c r="E58" s="151"/>
      <c r="F58" s="152">
        <v>0.17</v>
      </c>
      <c r="G58" s="152">
        <v>0.08</v>
      </c>
      <c r="H58" s="148"/>
      <c r="I58" s="149" t="str">
        <f t="shared" si="2"/>
        <v/>
      </c>
      <c r="J58" s="150" t="str">
        <f>IF(I58="","",IF(AND(MASTER!$I$14="Regular",LEFT(I58,3)="Jul"),MROUND(J57*103%,100),J57))</f>
        <v/>
      </c>
      <c r="K58" s="153"/>
      <c r="L58" s="154">
        <v>0.17</v>
      </c>
      <c r="M58" s="154">
        <v>0.08</v>
      </c>
      <c r="N58" s="137"/>
    </row>
    <row r="59" spans="1:14" x14ac:dyDescent="0.3">
      <c r="A59" s="137"/>
      <c r="B59" s="134" t="str">
        <f>IF(control!A56="","",control!A56)</f>
        <v/>
      </c>
      <c r="C59" s="146" t="str">
        <f>IFERROR(IF(control!C56="","",control!C56),0)</f>
        <v/>
      </c>
      <c r="D59" s="147" t="str">
        <f t="shared" si="4"/>
        <v/>
      </c>
      <c r="E59" s="151"/>
      <c r="F59" s="152">
        <v>0.17</v>
      </c>
      <c r="G59" s="152">
        <v>0.08</v>
      </c>
      <c r="H59" s="148"/>
      <c r="I59" s="149" t="str">
        <f t="shared" si="2"/>
        <v/>
      </c>
      <c r="J59" s="150" t="str">
        <f>IF(I59="","",IF(AND(MASTER!$I$14="Regular",LEFT(I59,3)="Jul"),MROUND(J58*103%,100),J58))</f>
        <v/>
      </c>
      <c r="K59" s="153"/>
      <c r="L59" s="154">
        <v>0.17</v>
      </c>
      <c r="M59" s="154">
        <v>0.08</v>
      </c>
      <c r="N59" s="137"/>
    </row>
    <row r="60" spans="1:14" x14ac:dyDescent="0.3">
      <c r="A60" s="137"/>
      <c r="B60" s="134" t="str">
        <f>IF(control!A57="","",control!A57)</f>
        <v/>
      </c>
      <c r="C60" s="146" t="str">
        <f>IFERROR(IF(control!C57="","",control!C57),0)</f>
        <v/>
      </c>
      <c r="D60" s="147" t="str">
        <f t="shared" ref="D60:D71" si="5">IF(C60="","",IF(LEFT(C60,3)="Jul",MROUND(D59*103%,100),D59))</f>
        <v/>
      </c>
      <c r="E60" s="151"/>
      <c r="F60" s="152">
        <v>0.17</v>
      </c>
      <c r="G60" s="152">
        <v>0.08</v>
      </c>
      <c r="H60" s="148"/>
      <c r="I60" s="149" t="str">
        <f t="shared" ref="I60:I71" si="6">C60</f>
        <v/>
      </c>
      <c r="J60" s="150" t="str">
        <f>IF(I60="","",IF(AND(MASTER!$I$14="Regular",LEFT(I60,3)="Jul"),MROUND(J59*103%,100),J59))</f>
        <v/>
      </c>
      <c r="K60" s="153"/>
      <c r="L60" s="154">
        <v>0.17</v>
      </c>
      <c r="M60" s="154">
        <v>0.08</v>
      </c>
      <c r="N60" s="137"/>
    </row>
    <row r="61" spans="1:14" x14ac:dyDescent="0.3">
      <c r="A61" s="137"/>
      <c r="B61" s="134" t="str">
        <f>IF(control!A58="","",control!A58)</f>
        <v/>
      </c>
      <c r="C61" s="146" t="str">
        <f>IFERROR(IF(control!C58="","",control!C58),0)</f>
        <v/>
      </c>
      <c r="D61" s="147" t="str">
        <f t="shared" si="5"/>
        <v/>
      </c>
      <c r="E61" s="151"/>
      <c r="F61" s="152">
        <v>0.17</v>
      </c>
      <c r="G61" s="152">
        <v>0.08</v>
      </c>
      <c r="H61" s="148"/>
      <c r="I61" s="149" t="str">
        <f t="shared" si="6"/>
        <v/>
      </c>
      <c r="J61" s="150" t="str">
        <f>IF(I61="","",IF(AND(MASTER!$I$14="Regular",LEFT(I61,3)="Jul"),MROUND(J60*103%,100),J60))</f>
        <v/>
      </c>
      <c r="K61" s="153"/>
      <c r="L61" s="154">
        <v>0.17</v>
      </c>
      <c r="M61" s="154">
        <v>0.08</v>
      </c>
      <c r="N61" s="137"/>
    </row>
    <row r="62" spans="1:14" x14ac:dyDescent="0.3">
      <c r="A62" s="137"/>
      <c r="B62" s="134" t="str">
        <f>IF(control!A59="","",control!A59)</f>
        <v/>
      </c>
      <c r="C62" s="146" t="str">
        <f>IFERROR(IF(control!C59="","",control!C59),0)</f>
        <v/>
      </c>
      <c r="D62" s="147" t="str">
        <f t="shared" si="5"/>
        <v/>
      </c>
      <c r="E62" s="151"/>
      <c r="F62" s="152">
        <v>0.17</v>
      </c>
      <c r="G62" s="152">
        <v>0.08</v>
      </c>
      <c r="H62" s="148"/>
      <c r="I62" s="149" t="str">
        <f t="shared" si="6"/>
        <v/>
      </c>
      <c r="J62" s="150" t="str">
        <f>IF(I62="","",IF(AND(MASTER!$I$14="Regular",LEFT(I62,3)="Jul"),MROUND(J61*103%,100),J61))</f>
        <v/>
      </c>
      <c r="K62" s="153"/>
      <c r="L62" s="154">
        <v>0.17</v>
      </c>
      <c r="M62" s="154">
        <v>0.08</v>
      </c>
      <c r="N62" s="137"/>
    </row>
    <row r="63" spans="1:14" x14ac:dyDescent="0.3">
      <c r="A63" s="137"/>
      <c r="B63" s="134" t="str">
        <f>IF(control!A60="","",control!A60)</f>
        <v/>
      </c>
      <c r="C63" s="146" t="str">
        <f>IFERROR(IF(control!C60="","",control!C60),0)</f>
        <v/>
      </c>
      <c r="D63" s="147" t="str">
        <f t="shared" si="5"/>
        <v/>
      </c>
      <c r="E63" s="151"/>
      <c r="F63" s="152">
        <v>0.17</v>
      </c>
      <c r="G63" s="152">
        <v>0.08</v>
      </c>
      <c r="H63" s="148"/>
      <c r="I63" s="149" t="str">
        <f t="shared" si="6"/>
        <v/>
      </c>
      <c r="J63" s="150" t="str">
        <f>IF(I63="","",IF(AND(MASTER!$I$14="Regular",LEFT(I63,3)="Jul"),MROUND(J62*103%,100),J62))</f>
        <v/>
      </c>
      <c r="K63" s="153"/>
      <c r="L63" s="154">
        <v>0.17</v>
      </c>
      <c r="M63" s="154">
        <v>0.08</v>
      </c>
      <c r="N63" s="137"/>
    </row>
    <row r="64" spans="1:14" x14ac:dyDescent="0.3">
      <c r="A64" s="137"/>
      <c r="B64" s="134" t="str">
        <f>IF(control!A61="","",control!A61)</f>
        <v/>
      </c>
      <c r="C64" s="146" t="str">
        <f>IFERROR(IF(control!C61="","",control!C61),0)</f>
        <v/>
      </c>
      <c r="D64" s="147" t="str">
        <f t="shared" si="5"/>
        <v/>
      </c>
      <c r="E64" s="151"/>
      <c r="F64" s="152">
        <v>0.17</v>
      </c>
      <c r="G64" s="152">
        <v>0.08</v>
      </c>
      <c r="H64" s="148"/>
      <c r="I64" s="149" t="str">
        <f t="shared" si="6"/>
        <v/>
      </c>
      <c r="J64" s="150" t="str">
        <f>IF(I64="","",IF(AND(MASTER!$I$14="Regular",LEFT(I64,3)="Jul"),MROUND(J63*103%,100),J63))</f>
        <v/>
      </c>
      <c r="K64" s="153"/>
      <c r="L64" s="154">
        <v>0.17</v>
      </c>
      <c r="M64" s="154">
        <v>0.08</v>
      </c>
      <c r="N64" s="137"/>
    </row>
    <row r="65" spans="1:14" x14ac:dyDescent="0.3">
      <c r="A65" s="137"/>
      <c r="B65" s="134" t="str">
        <f>IF(control!A62="","",control!A62)</f>
        <v/>
      </c>
      <c r="C65" s="146" t="str">
        <f>IFERROR(IF(control!C62="","",control!C62),0)</f>
        <v/>
      </c>
      <c r="D65" s="147" t="str">
        <f t="shared" si="5"/>
        <v/>
      </c>
      <c r="E65" s="151"/>
      <c r="F65" s="152">
        <v>0.17</v>
      </c>
      <c r="G65" s="152">
        <v>0.08</v>
      </c>
      <c r="H65" s="148"/>
      <c r="I65" s="149" t="str">
        <f t="shared" si="6"/>
        <v/>
      </c>
      <c r="J65" s="150" t="str">
        <f>IF(I65="","",IF(AND(MASTER!$I$14="Regular",LEFT(I65,3)="Jul"),MROUND(J64*103%,100),J64))</f>
        <v/>
      </c>
      <c r="K65" s="153"/>
      <c r="L65" s="154">
        <v>0.17</v>
      </c>
      <c r="M65" s="154">
        <v>0.08</v>
      </c>
      <c r="N65" s="137"/>
    </row>
    <row r="66" spans="1:14" x14ac:dyDescent="0.3">
      <c r="A66" s="137"/>
      <c r="B66" s="134" t="str">
        <f>IF(control!A63="","",control!A63)</f>
        <v/>
      </c>
      <c r="C66" s="146" t="str">
        <f>IFERROR(IF(control!C63="","",control!C63),0)</f>
        <v/>
      </c>
      <c r="D66" s="147" t="str">
        <f t="shared" si="5"/>
        <v/>
      </c>
      <c r="E66" s="151"/>
      <c r="F66" s="152">
        <v>0.17</v>
      </c>
      <c r="G66" s="152">
        <v>0.08</v>
      </c>
      <c r="H66" s="148"/>
      <c r="I66" s="149" t="str">
        <f t="shared" si="6"/>
        <v/>
      </c>
      <c r="J66" s="150" t="str">
        <f>IF(I66="","",IF(AND(MASTER!$I$14="Regular",LEFT(I66,3)="Jul"),MROUND(J65*103%,100),J65))</f>
        <v/>
      </c>
      <c r="K66" s="153"/>
      <c r="L66" s="154">
        <v>0.17</v>
      </c>
      <c r="M66" s="154">
        <v>0.08</v>
      </c>
      <c r="N66" s="137"/>
    </row>
    <row r="67" spans="1:14" x14ac:dyDescent="0.3">
      <c r="A67" s="137"/>
      <c r="B67" s="134" t="str">
        <f>IF(control!A64="","",control!A64)</f>
        <v/>
      </c>
      <c r="C67" s="146" t="str">
        <f>IFERROR(IF(control!C64="","",control!C64),0)</f>
        <v/>
      </c>
      <c r="D67" s="147" t="str">
        <f t="shared" si="5"/>
        <v/>
      </c>
      <c r="E67" s="151"/>
      <c r="F67" s="152">
        <v>0.17</v>
      </c>
      <c r="G67" s="152">
        <v>0.08</v>
      </c>
      <c r="H67" s="148"/>
      <c r="I67" s="149" t="str">
        <f t="shared" si="6"/>
        <v/>
      </c>
      <c r="J67" s="150" t="str">
        <f>IF(I67="","",IF(AND(MASTER!$I$14="Regular",LEFT(I67,3)="Jul"),MROUND(J66*103%,100),J66))</f>
        <v/>
      </c>
      <c r="K67" s="153"/>
      <c r="L67" s="154">
        <v>0.17</v>
      </c>
      <c r="M67" s="154">
        <v>0.08</v>
      </c>
      <c r="N67" s="137"/>
    </row>
    <row r="68" spans="1:14" x14ac:dyDescent="0.3">
      <c r="A68" s="137"/>
      <c r="B68" s="134" t="str">
        <f>IF(control!A65="","",control!A65)</f>
        <v/>
      </c>
      <c r="C68" s="146" t="str">
        <f>IFERROR(IF(control!C65="","",control!C65),0)</f>
        <v/>
      </c>
      <c r="D68" s="147" t="str">
        <f t="shared" si="5"/>
        <v/>
      </c>
      <c r="E68" s="151"/>
      <c r="F68" s="152">
        <v>0.17</v>
      </c>
      <c r="G68" s="152">
        <v>0.08</v>
      </c>
      <c r="H68" s="148"/>
      <c r="I68" s="149" t="str">
        <f t="shared" si="6"/>
        <v/>
      </c>
      <c r="J68" s="150" t="str">
        <f>IF(I68="","",IF(AND(MASTER!$I$14="Regular",LEFT(I68,3)="Jul"),MROUND(J67*103%,100),J67))</f>
        <v/>
      </c>
      <c r="K68" s="153"/>
      <c r="L68" s="154">
        <v>0.17</v>
      </c>
      <c r="M68" s="154">
        <v>0.08</v>
      </c>
      <c r="N68" s="137"/>
    </row>
    <row r="69" spans="1:14" x14ac:dyDescent="0.3">
      <c r="A69" s="137"/>
      <c r="B69" s="134" t="str">
        <f>IF(control!A66="","",control!A66)</f>
        <v/>
      </c>
      <c r="C69" s="146" t="str">
        <f>IFERROR(IF(control!C66="","",control!C66),0)</f>
        <v/>
      </c>
      <c r="D69" s="147" t="str">
        <f t="shared" si="5"/>
        <v/>
      </c>
      <c r="E69" s="151"/>
      <c r="F69" s="152">
        <v>0.17</v>
      </c>
      <c r="G69" s="152">
        <v>0.08</v>
      </c>
      <c r="H69" s="148"/>
      <c r="I69" s="149" t="str">
        <f t="shared" si="6"/>
        <v/>
      </c>
      <c r="J69" s="150" t="str">
        <f>IF(I69="","",IF(AND(MASTER!$I$14="Regular",LEFT(I69,3)="Jul"),MROUND(J68*103%,100),J68))</f>
        <v/>
      </c>
      <c r="K69" s="153"/>
      <c r="L69" s="154">
        <v>0.17</v>
      </c>
      <c r="M69" s="154">
        <v>0.08</v>
      </c>
      <c r="N69" s="137"/>
    </row>
    <row r="70" spans="1:14" x14ac:dyDescent="0.3">
      <c r="A70" s="137"/>
      <c r="B70" s="134" t="str">
        <f>IF(control!A67="","",control!A67)</f>
        <v/>
      </c>
      <c r="C70" s="146" t="str">
        <f>IFERROR(IF(control!C67="","",control!C67),0)</f>
        <v/>
      </c>
      <c r="D70" s="147" t="str">
        <f t="shared" si="5"/>
        <v/>
      </c>
      <c r="E70" s="151"/>
      <c r="F70" s="152">
        <v>0.17</v>
      </c>
      <c r="G70" s="152">
        <v>0.08</v>
      </c>
      <c r="H70" s="148"/>
      <c r="I70" s="149" t="str">
        <f t="shared" si="6"/>
        <v/>
      </c>
      <c r="J70" s="150" t="str">
        <f>IF(I70="","",IF(AND(MASTER!$I$14="Regular",LEFT(I70,3)="Jul"),MROUND(J69*103%,100),J69))</f>
        <v/>
      </c>
      <c r="K70" s="153"/>
      <c r="L70" s="154">
        <v>0.17</v>
      </c>
      <c r="M70" s="154">
        <v>0.08</v>
      </c>
      <c r="N70" s="137"/>
    </row>
    <row r="71" spans="1:14" x14ac:dyDescent="0.3">
      <c r="A71" s="137"/>
      <c r="B71" s="134" t="str">
        <f>IF(control!A68="","",control!A68)</f>
        <v/>
      </c>
      <c r="C71" s="146" t="str">
        <f>IFERROR(IF(control!C68="","",control!C68),0)</f>
        <v/>
      </c>
      <c r="D71" s="147" t="str">
        <f t="shared" si="5"/>
        <v/>
      </c>
      <c r="E71" s="151"/>
      <c r="F71" s="152">
        <v>0.17</v>
      </c>
      <c r="G71" s="152">
        <v>0.08</v>
      </c>
      <c r="H71" s="148"/>
      <c r="I71" s="149" t="str">
        <f t="shared" si="6"/>
        <v/>
      </c>
      <c r="J71" s="150" t="str">
        <f>IF(I71="","",IF(AND(MASTER!$I$14="Regular",LEFT(I71,3)="Jul"),MROUND(J70*103%,100),J70))</f>
        <v/>
      </c>
      <c r="K71" s="153"/>
      <c r="L71" s="154">
        <v>0.17</v>
      </c>
      <c r="M71" s="154">
        <v>0.08</v>
      </c>
      <c r="N71" s="137"/>
    </row>
    <row r="72" spans="1:14" x14ac:dyDescent="0.3">
      <c r="A72" s="137"/>
      <c r="B72" s="134" t="str">
        <f>IF(control!A69="","",control!A69)</f>
        <v/>
      </c>
      <c r="C72" s="146" t="str">
        <f>IFERROR(IF(control!C69="","",control!C69),0)</f>
        <v/>
      </c>
      <c r="D72" s="147" t="str">
        <f t="shared" ref="D72:D92" si="7">IF(C72="","",IF(LEFT(C72,3)="Jul",MROUND(D71*103%,100),D71))</f>
        <v/>
      </c>
      <c r="E72" s="151"/>
      <c r="F72" s="152">
        <v>0.17</v>
      </c>
      <c r="G72" s="152">
        <v>0.08</v>
      </c>
      <c r="H72" s="148"/>
      <c r="I72" s="149" t="str">
        <f t="shared" ref="I72:I95" si="8">C72</f>
        <v/>
      </c>
      <c r="J72" s="150" t="str">
        <f>IF(I72="","",IF(AND(MASTER!$I$14="Regular",LEFT(I72,3)="Jul"),MROUND(J71*103%,100),J71))</f>
        <v/>
      </c>
      <c r="K72" s="153"/>
      <c r="L72" s="154">
        <v>0.17</v>
      </c>
      <c r="M72" s="154">
        <v>0.08</v>
      </c>
      <c r="N72" s="137"/>
    </row>
    <row r="73" spans="1:14" x14ac:dyDescent="0.3">
      <c r="A73" s="137"/>
      <c r="B73" s="134" t="str">
        <f>IF(control!A70="","",control!A70)</f>
        <v/>
      </c>
      <c r="C73" s="146" t="str">
        <f>IFERROR(IF(control!C70="","",control!C70),0)</f>
        <v/>
      </c>
      <c r="D73" s="147" t="str">
        <f t="shared" si="7"/>
        <v/>
      </c>
      <c r="E73" s="151"/>
      <c r="F73" s="152">
        <v>0.17</v>
      </c>
      <c r="G73" s="152">
        <v>0.08</v>
      </c>
      <c r="H73" s="148"/>
      <c r="I73" s="149" t="str">
        <f t="shared" si="8"/>
        <v/>
      </c>
      <c r="J73" s="150" t="str">
        <f>IF(I73="","",IF(AND(MASTER!$I$14="Regular",LEFT(I73,3)="Jul"),MROUND(J72*103%,100),J72))</f>
        <v/>
      </c>
      <c r="K73" s="153"/>
      <c r="L73" s="154">
        <v>0.17</v>
      </c>
      <c r="M73" s="154">
        <v>0.08</v>
      </c>
      <c r="N73" s="137"/>
    </row>
    <row r="74" spans="1:14" x14ac:dyDescent="0.3">
      <c r="A74" s="137"/>
      <c r="B74" s="134" t="str">
        <f>IF(control!A71="","",control!A71)</f>
        <v/>
      </c>
      <c r="C74" s="146" t="str">
        <f>IFERROR(IF(control!C71="","",control!C71),0)</f>
        <v/>
      </c>
      <c r="D74" s="147" t="str">
        <f t="shared" si="7"/>
        <v/>
      </c>
      <c r="E74" s="151"/>
      <c r="F74" s="152">
        <v>0.17</v>
      </c>
      <c r="G74" s="152">
        <v>0.08</v>
      </c>
      <c r="H74" s="148"/>
      <c r="I74" s="149" t="str">
        <f t="shared" si="8"/>
        <v/>
      </c>
      <c r="J74" s="150" t="str">
        <f>IF(I74="","",IF(AND(MASTER!$I$14="Regular",LEFT(I74,3)="Jul"),MROUND(J73*103%,100),J73))</f>
        <v/>
      </c>
      <c r="K74" s="153"/>
      <c r="L74" s="154">
        <v>0.17</v>
      </c>
      <c r="M74" s="154">
        <v>0.08</v>
      </c>
      <c r="N74" s="137"/>
    </row>
    <row r="75" spans="1:14" x14ac:dyDescent="0.3">
      <c r="A75" s="137"/>
      <c r="B75" s="134" t="str">
        <f>IF(control!A72="","",control!A72)</f>
        <v/>
      </c>
      <c r="C75" s="146" t="str">
        <f>IFERROR(IF(control!C72="","",control!C72),0)</f>
        <v/>
      </c>
      <c r="D75" s="147" t="str">
        <f t="shared" si="7"/>
        <v/>
      </c>
      <c r="E75" s="151"/>
      <c r="F75" s="152">
        <v>0.17</v>
      </c>
      <c r="G75" s="152">
        <v>0.08</v>
      </c>
      <c r="H75" s="148"/>
      <c r="I75" s="149" t="str">
        <f t="shared" si="8"/>
        <v/>
      </c>
      <c r="J75" s="150" t="str">
        <f>IF(I75="","",IF(AND(MASTER!$I$14="Regular",LEFT(I75,3)="Jul"),MROUND(J74*103%,100),J74))</f>
        <v/>
      </c>
      <c r="K75" s="153"/>
      <c r="L75" s="154">
        <v>0.17</v>
      </c>
      <c r="M75" s="154">
        <v>0.08</v>
      </c>
      <c r="N75" s="137"/>
    </row>
    <row r="76" spans="1:14" x14ac:dyDescent="0.3">
      <c r="A76" s="137"/>
      <c r="B76" s="134" t="str">
        <f>IF(control!A73="","",control!A73)</f>
        <v/>
      </c>
      <c r="C76" s="146" t="str">
        <f>IFERROR(IF(control!C73="","",control!C73),0)</f>
        <v/>
      </c>
      <c r="D76" s="147" t="str">
        <f t="shared" si="7"/>
        <v/>
      </c>
      <c r="E76" s="151"/>
      <c r="F76" s="152">
        <v>0.17</v>
      </c>
      <c r="G76" s="152">
        <v>0.08</v>
      </c>
      <c r="H76" s="148"/>
      <c r="I76" s="149" t="str">
        <f t="shared" si="8"/>
        <v/>
      </c>
      <c r="J76" s="150" t="str">
        <f>IF(I76="","",IF(AND(MASTER!$I$14="Regular",LEFT(I76,3)="Jul"),MROUND(J75*103%,100),J75))</f>
        <v/>
      </c>
      <c r="K76" s="153"/>
      <c r="L76" s="154">
        <v>0.17</v>
      </c>
      <c r="M76" s="154">
        <v>0.08</v>
      </c>
      <c r="N76" s="137"/>
    </row>
    <row r="77" spans="1:14" x14ac:dyDescent="0.3">
      <c r="A77" s="137"/>
      <c r="B77" s="134" t="str">
        <f>IF(control!A74="","",control!A74)</f>
        <v/>
      </c>
      <c r="C77" s="146" t="str">
        <f>IFERROR(IF(control!C74="","",control!C74),0)</f>
        <v/>
      </c>
      <c r="D77" s="147" t="str">
        <f t="shared" si="7"/>
        <v/>
      </c>
      <c r="E77" s="151"/>
      <c r="F77" s="152">
        <v>0.17</v>
      </c>
      <c r="G77" s="152">
        <v>0.08</v>
      </c>
      <c r="H77" s="148"/>
      <c r="I77" s="149" t="str">
        <f t="shared" si="8"/>
        <v/>
      </c>
      <c r="J77" s="150" t="str">
        <f>IF(I77="","",IF(AND(MASTER!$I$14="Regular",LEFT(I77,3)="Jul"),MROUND(J76*103%,100),J76))</f>
        <v/>
      </c>
      <c r="K77" s="153"/>
      <c r="L77" s="154">
        <v>0.17</v>
      </c>
      <c r="M77" s="154">
        <v>0.08</v>
      </c>
      <c r="N77" s="137"/>
    </row>
    <row r="78" spans="1:14" x14ac:dyDescent="0.3">
      <c r="A78" s="137"/>
      <c r="B78" s="134" t="str">
        <f>IF(control!A75="","",control!A75)</f>
        <v/>
      </c>
      <c r="C78" s="146" t="str">
        <f>IFERROR(IF(control!C75="","",control!C75),0)</f>
        <v/>
      </c>
      <c r="D78" s="147" t="str">
        <f t="shared" si="7"/>
        <v/>
      </c>
      <c r="E78" s="151"/>
      <c r="F78" s="152">
        <v>0.17</v>
      </c>
      <c r="G78" s="152">
        <v>0.08</v>
      </c>
      <c r="H78" s="148"/>
      <c r="I78" s="149" t="str">
        <f t="shared" si="8"/>
        <v/>
      </c>
      <c r="J78" s="150" t="str">
        <f>IF(I78="","",IF(AND(MASTER!$I$14="Regular",LEFT(I78,3)="Jul"),MROUND(J77*103%,100),J77))</f>
        <v/>
      </c>
      <c r="K78" s="153"/>
      <c r="L78" s="154">
        <v>0.17</v>
      </c>
      <c r="M78" s="154">
        <v>0.08</v>
      </c>
      <c r="N78" s="137"/>
    </row>
    <row r="79" spans="1:14" x14ac:dyDescent="0.3">
      <c r="A79" s="137"/>
      <c r="B79" s="134" t="str">
        <f>IF(control!A76="","",control!A76)</f>
        <v/>
      </c>
      <c r="C79" s="146" t="str">
        <f>IFERROR(IF(control!C76="","",control!C76),0)</f>
        <v/>
      </c>
      <c r="D79" s="147" t="str">
        <f t="shared" si="7"/>
        <v/>
      </c>
      <c r="E79" s="151"/>
      <c r="F79" s="152">
        <v>0.17</v>
      </c>
      <c r="G79" s="152">
        <v>0.08</v>
      </c>
      <c r="H79" s="148"/>
      <c r="I79" s="149" t="str">
        <f t="shared" si="8"/>
        <v/>
      </c>
      <c r="J79" s="150" t="str">
        <f>IF(I79="","",IF(AND(MASTER!$I$14="Regular",LEFT(I79,3)="Jul"),MROUND(J78*103%,100),J78))</f>
        <v/>
      </c>
      <c r="K79" s="153"/>
      <c r="L79" s="154">
        <v>0.17</v>
      </c>
      <c r="M79" s="154">
        <v>0.08</v>
      </c>
      <c r="N79" s="137"/>
    </row>
    <row r="80" spans="1:14" x14ac:dyDescent="0.3">
      <c r="A80" s="137"/>
      <c r="B80" s="134" t="str">
        <f>IF(control!A77="","",control!A77)</f>
        <v/>
      </c>
      <c r="C80" s="146" t="str">
        <f>IFERROR(IF(control!C77="","",control!C77),0)</f>
        <v/>
      </c>
      <c r="D80" s="147" t="str">
        <f t="shared" si="7"/>
        <v/>
      </c>
      <c r="E80" s="151"/>
      <c r="F80" s="152">
        <v>0.17</v>
      </c>
      <c r="G80" s="152">
        <v>0.08</v>
      </c>
      <c r="H80" s="148"/>
      <c r="I80" s="149" t="str">
        <f t="shared" si="8"/>
        <v/>
      </c>
      <c r="J80" s="150" t="str">
        <f>IF(I80="","",IF(AND(MASTER!$I$14="Regular",LEFT(I80,3)="Jul"),MROUND(J79*103%,100),J79))</f>
        <v/>
      </c>
      <c r="K80" s="153"/>
      <c r="L80" s="154">
        <v>0.17</v>
      </c>
      <c r="M80" s="154">
        <v>0.08</v>
      </c>
      <c r="N80" s="137"/>
    </row>
    <row r="81" spans="1:14" x14ac:dyDescent="0.3">
      <c r="A81" s="137"/>
      <c r="B81" s="134" t="str">
        <f>IF(control!A78="","",control!A78)</f>
        <v/>
      </c>
      <c r="C81" s="146" t="str">
        <f>IFERROR(IF(control!C78="","",control!C78),0)</f>
        <v/>
      </c>
      <c r="D81" s="147" t="str">
        <f t="shared" si="7"/>
        <v/>
      </c>
      <c r="E81" s="151"/>
      <c r="F81" s="152">
        <v>0.17</v>
      </c>
      <c r="G81" s="152">
        <v>0.08</v>
      </c>
      <c r="H81" s="148"/>
      <c r="I81" s="149" t="str">
        <f t="shared" si="8"/>
        <v/>
      </c>
      <c r="J81" s="150" t="str">
        <f>IF(I81="","",IF(AND(MASTER!$I$14="Regular",LEFT(I81,3)="Jul"),MROUND(J80*103%,100),J80))</f>
        <v/>
      </c>
      <c r="K81" s="153"/>
      <c r="L81" s="154">
        <v>0.17</v>
      </c>
      <c r="M81" s="154">
        <v>0.08</v>
      </c>
      <c r="N81" s="137"/>
    </row>
    <row r="82" spans="1:14" x14ac:dyDescent="0.3">
      <c r="A82" s="137"/>
      <c r="B82" s="134" t="str">
        <f>IF(control!A79="","",control!A79)</f>
        <v/>
      </c>
      <c r="C82" s="146" t="str">
        <f>IFERROR(IF(control!C79="","",control!C79),0)</f>
        <v/>
      </c>
      <c r="D82" s="147" t="str">
        <f t="shared" si="7"/>
        <v/>
      </c>
      <c r="E82" s="151"/>
      <c r="F82" s="152">
        <v>0.17</v>
      </c>
      <c r="G82" s="152">
        <v>0.08</v>
      </c>
      <c r="H82" s="148"/>
      <c r="I82" s="149" t="str">
        <f t="shared" si="8"/>
        <v/>
      </c>
      <c r="J82" s="150" t="str">
        <f>IF(I82="","",IF(AND(MASTER!$I$14="Regular",LEFT(I82,3)="Jul"),MROUND(J81*103%,100),J81))</f>
        <v/>
      </c>
      <c r="K82" s="153"/>
      <c r="L82" s="154">
        <v>0.17</v>
      </c>
      <c r="M82" s="154">
        <v>0.08</v>
      </c>
      <c r="N82" s="137"/>
    </row>
    <row r="83" spans="1:14" x14ac:dyDescent="0.3">
      <c r="A83" s="137"/>
      <c r="B83" s="134" t="str">
        <f>IF(control!A80="","",control!A80)</f>
        <v/>
      </c>
      <c r="C83" s="146" t="str">
        <f>IFERROR(IF(control!C80="","",control!C80),0)</f>
        <v/>
      </c>
      <c r="D83" s="147" t="str">
        <f t="shared" si="7"/>
        <v/>
      </c>
      <c r="E83" s="151"/>
      <c r="F83" s="152">
        <v>0.38</v>
      </c>
      <c r="G83" s="152">
        <v>0.08</v>
      </c>
      <c r="H83" s="148"/>
      <c r="I83" s="149" t="str">
        <f t="shared" si="8"/>
        <v/>
      </c>
      <c r="J83" s="150" t="str">
        <f>IF(I83="","",IF(AND(MASTER!$I$14="Regular",LEFT(I83,3)="Jul"),MROUND(J82*103%,100),J82))</f>
        <v/>
      </c>
      <c r="K83" s="153"/>
      <c r="L83" s="154">
        <v>0.17</v>
      </c>
      <c r="M83" s="154">
        <v>0.08</v>
      </c>
      <c r="N83" s="137"/>
    </row>
    <row r="84" spans="1:14" x14ac:dyDescent="0.3">
      <c r="A84" s="137"/>
      <c r="B84" s="134" t="str">
        <f>IF(control!A81="","",control!A81)</f>
        <v/>
      </c>
      <c r="C84" s="146" t="str">
        <f>IFERROR(IF(control!C81="","",control!C81),0)</f>
        <v/>
      </c>
      <c r="D84" s="147" t="str">
        <f t="shared" si="7"/>
        <v/>
      </c>
      <c r="E84" s="151"/>
      <c r="F84" s="152"/>
      <c r="G84" s="152"/>
      <c r="H84" s="148"/>
      <c r="I84" s="149" t="str">
        <f t="shared" si="8"/>
        <v/>
      </c>
      <c r="J84" s="150" t="str">
        <f>IF(I84="","",IF(AND(MASTER!$I$14="Regular",LEFT(I84,3)="Jul"),MROUND(J83*103%,100),J83))</f>
        <v/>
      </c>
      <c r="K84" s="153"/>
      <c r="L84" s="154"/>
      <c r="M84" s="154"/>
      <c r="N84" s="137"/>
    </row>
    <row r="85" spans="1:14" x14ac:dyDescent="0.3">
      <c r="A85" s="137"/>
      <c r="B85" s="134" t="str">
        <f>IF(control!A82="","",control!A82)</f>
        <v/>
      </c>
      <c r="C85" s="146" t="str">
        <f>IFERROR(IF(control!C82="","",control!C82),0)</f>
        <v/>
      </c>
      <c r="D85" s="147" t="str">
        <f t="shared" si="7"/>
        <v/>
      </c>
      <c r="E85" s="151"/>
      <c r="F85" s="152"/>
      <c r="G85" s="152"/>
      <c r="H85" s="148"/>
      <c r="I85" s="149" t="str">
        <f t="shared" si="8"/>
        <v/>
      </c>
      <c r="J85" s="150" t="str">
        <f>IF(I85="","",IF(AND(MASTER!$I$14="Regular",LEFT(I85,3)="Jul"),MROUND(J84*103%,100),J84))</f>
        <v/>
      </c>
      <c r="K85" s="153"/>
      <c r="L85" s="154"/>
      <c r="M85" s="154"/>
      <c r="N85" s="137"/>
    </row>
    <row r="86" spans="1:14" x14ac:dyDescent="0.3">
      <c r="A86" s="137"/>
      <c r="B86" s="134" t="str">
        <f>IF(control!A83="","",control!A83)</f>
        <v/>
      </c>
      <c r="C86" s="146" t="str">
        <f>IFERROR(IF(control!C83="","",control!C83),0)</f>
        <v/>
      </c>
      <c r="D86" s="147" t="str">
        <f t="shared" si="7"/>
        <v/>
      </c>
      <c r="E86" s="151"/>
      <c r="F86" s="152"/>
      <c r="G86" s="152"/>
      <c r="H86" s="148"/>
      <c r="I86" s="149" t="str">
        <f t="shared" si="8"/>
        <v/>
      </c>
      <c r="J86" s="150" t="str">
        <f>IF(I86="","",IF(AND(MASTER!$I$14="Regular",LEFT(I86,3)="Jul"),MROUND(J85*103%,100),J85))</f>
        <v/>
      </c>
      <c r="K86" s="153"/>
      <c r="L86" s="154"/>
      <c r="M86" s="154"/>
      <c r="N86" s="137"/>
    </row>
    <row r="87" spans="1:14" x14ac:dyDescent="0.3">
      <c r="A87" s="137"/>
      <c r="B87" s="134" t="str">
        <f>IF(control!A84="","",control!A84)</f>
        <v/>
      </c>
      <c r="C87" s="146" t="str">
        <f>IFERROR(IF(control!C84="","",control!C84),0)</f>
        <v/>
      </c>
      <c r="D87" s="147" t="str">
        <f t="shared" si="7"/>
        <v/>
      </c>
      <c r="E87" s="151"/>
      <c r="F87" s="152"/>
      <c r="G87" s="152"/>
      <c r="H87" s="148"/>
      <c r="I87" s="149" t="str">
        <f t="shared" si="8"/>
        <v/>
      </c>
      <c r="J87" s="150" t="str">
        <f>IF(I87="","",IF(AND(MASTER!$I$14="Regular",LEFT(I87,3)="Jul"),MROUND(J86*103%,100),J86))</f>
        <v/>
      </c>
      <c r="K87" s="153"/>
      <c r="L87" s="154"/>
      <c r="M87" s="154"/>
      <c r="N87" s="137"/>
    </row>
    <row r="88" spans="1:14" x14ac:dyDescent="0.3">
      <c r="A88" s="137"/>
      <c r="B88" s="134" t="str">
        <f>IF(control!A85="","",control!A85)</f>
        <v/>
      </c>
      <c r="C88" s="146" t="str">
        <f>IFERROR(IF(control!C85="","",control!C85),0)</f>
        <v/>
      </c>
      <c r="D88" s="147" t="str">
        <f t="shared" si="7"/>
        <v/>
      </c>
      <c r="E88" s="151"/>
      <c r="F88" s="152"/>
      <c r="G88" s="152"/>
      <c r="H88" s="148"/>
      <c r="I88" s="149" t="str">
        <f t="shared" si="8"/>
        <v/>
      </c>
      <c r="J88" s="150" t="str">
        <f>IF(I88="","",IF(AND(MASTER!$I$14="Regular",LEFT(I88,3)="Jul"),MROUND(J87*103%,100),J87))</f>
        <v/>
      </c>
      <c r="K88" s="153"/>
      <c r="L88" s="154"/>
      <c r="M88" s="154"/>
      <c r="N88" s="137"/>
    </row>
    <row r="89" spans="1:14" x14ac:dyDescent="0.3">
      <c r="A89" s="137"/>
      <c r="B89" s="134" t="str">
        <f>IF(control!A86="","",control!A86)</f>
        <v/>
      </c>
      <c r="C89" s="146" t="str">
        <f>IFERROR(IF(control!C86="","",control!C86),0)</f>
        <v/>
      </c>
      <c r="D89" s="147" t="str">
        <f t="shared" si="7"/>
        <v/>
      </c>
      <c r="E89" s="151"/>
      <c r="F89" s="152"/>
      <c r="G89" s="152"/>
      <c r="H89" s="148"/>
      <c r="I89" s="149" t="str">
        <f t="shared" si="8"/>
        <v/>
      </c>
      <c r="J89" s="150" t="str">
        <f>IF(I89="","",IF(AND(MASTER!$I$14="Regular",LEFT(I89,3)="Jul"),MROUND(J88*103%,100),J88))</f>
        <v/>
      </c>
      <c r="K89" s="153"/>
      <c r="L89" s="154"/>
      <c r="M89" s="154"/>
      <c r="N89" s="137"/>
    </row>
    <row r="90" spans="1:14" x14ac:dyDescent="0.3">
      <c r="A90" s="137"/>
      <c r="B90" s="134" t="str">
        <f>IF(control!A87="","",control!A87)</f>
        <v/>
      </c>
      <c r="C90" s="146" t="str">
        <f>IFERROR(IF(control!C87="","",control!C87),0)</f>
        <v/>
      </c>
      <c r="D90" s="147" t="str">
        <f t="shared" si="7"/>
        <v/>
      </c>
      <c r="E90" s="151"/>
      <c r="F90" s="152"/>
      <c r="G90" s="152"/>
      <c r="H90" s="148"/>
      <c r="I90" s="149" t="str">
        <f t="shared" si="8"/>
        <v/>
      </c>
      <c r="J90" s="150" t="str">
        <f>IF(I90="","",IF(AND(MASTER!$I$14="Regular",LEFT(I90,3)="Jul"),MROUND(J89*103%,100),J89))</f>
        <v/>
      </c>
      <c r="K90" s="153"/>
      <c r="L90" s="154"/>
      <c r="M90" s="154"/>
      <c r="N90" s="137"/>
    </row>
    <row r="91" spans="1:14" x14ac:dyDescent="0.3">
      <c r="A91" s="137"/>
      <c r="B91" s="134" t="str">
        <f>IF(control!A88="","",control!A88)</f>
        <v/>
      </c>
      <c r="C91" s="146" t="str">
        <f>IFERROR(IF(control!C88="","",control!C88),0)</f>
        <v/>
      </c>
      <c r="D91" s="147" t="str">
        <f t="shared" si="7"/>
        <v/>
      </c>
      <c r="E91" s="151"/>
      <c r="F91" s="152"/>
      <c r="G91" s="152"/>
      <c r="H91" s="148"/>
      <c r="I91" s="149" t="str">
        <f t="shared" si="8"/>
        <v/>
      </c>
      <c r="J91" s="150" t="str">
        <f>IF(I91="","",IF(AND(MASTER!$I$14="Regular",LEFT(I91,3)="Jul"),MROUND(J90*103%,100),J90))</f>
        <v/>
      </c>
      <c r="K91" s="153"/>
      <c r="L91" s="154"/>
      <c r="M91" s="154"/>
      <c r="N91" s="137"/>
    </row>
    <row r="92" spans="1:14" x14ac:dyDescent="0.3">
      <c r="A92" s="137"/>
      <c r="B92" s="134" t="str">
        <f>IF(control!A89="","",control!A89)</f>
        <v/>
      </c>
      <c r="C92" s="146" t="str">
        <f>IFERROR(IF(control!C89="","",control!C89),0)</f>
        <v/>
      </c>
      <c r="D92" s="147" t="str">
        <f t="shared" si="7"/>
        <v/>
      </c>
      <c r="E92" s="151"/>
      <c r="F92" s="152"/>
      <c r="G92" s="152"/>
      <c r="H92" s="148"/>
      <c r="I92" s="149" t="str">
        <f t="shared" si="8"/>
        <v/>
      </c>
      <c r="J92" s="150" t="str">
        <f>IF(I92="","",IF(AND(MASTER!$I$14="Regular",LEFT(I92,3)="Jul"),MROUND(J91*103%,100),J91))</f>
        <v/>
      </c>
      <c r="K92" s="153"/>
      <c r="L92" s="154"/>
      <c r="M92" s="154"/>
      <c r="N92" s="137"/>
    </row>
    <row r="93" spans="1:14" x14ac:dyDescent="0.3">
      <c r="A93" s="137"/>
      <c r="B93" s="134" t="str">
        <f>IF(control!A90="","",control!A90)</f>
        <v/>
      </c>
      <c r="C93" s="146" t="str">
        <f>IFERROR(IF(control!C90="","",control!C90),0)</f>
        <v/>
      </c>
      <c r="D93" s="147" t="str">
        <f t="shared" ref="D93:D95" si="9">IF(C93="","",IF(LEFT(C93,3)="Jul",MROUND(D92*103%,100),D92))</f>
        <v/>
      </c>
      <c r="E93" s="151"/>
      <c r="F93" s="152"/>
      <c r="G93" s="152"/>
      <c r="H93" s="148"/>
      <c r="I93" s="149" t="str">
        <f t="shared" si="8"/>
        <v/>
      </c>
      <c r="J93" s="150" t="str">
        <f>IF(I93="","",IF(AND(MASTER!$I$14="Regular",LEFT(I93,3)="Jul"),MROUND(J92*103%,100),J92))</f>
        <v/>
      </c>
      <c r="K93" s="153"/>
      <c r="L93" s="154"/>
      <c r="M93" s="154"/>
      <c r="N93" s="137"/>
    </row>
    <row r="94" spans="1:14" x14ac:dyDescent="0.3">
      <c r="A94" s="137"/>
      <c r="B94" s="134" t="str">
        <f>IF(control!A91="","",control!A91)</f>
        <v/>
      </c>
      <c r="C94" s="146" t="str">
        <f>IFERROR(IF(control!C91="","",control!C91),0)</f>
        <v/>
      </c>
      <c r="D94" s="147" t="str">
        <f t="shared" si="9"/>
        <v/>
      </c>
      <c r="E94" s="151"/>
      <c r="F94" s="152"/>
      <c r="G94" s="152"/>
      <c r="H94" s="148"/>
      <c r="I94" s="149" t="str">
        <f t="shared" si="8"/>
        <v/>
      </c>
      <c r="J94" s="150" t="str">
        <f>IF(I94="","",IF(AND(MASTER!$I$14="Regular",LEFT(I94,3)="Jul"),MROUND(J93*103%,100),J93))</f>
        <v/>
      </c>
      <c r="K94" s="153"/>
      <c r="L94" s="154"/>
      <c r="M94" s="154"/>
      <c r="N94" s="137"/>
    </row>
    <row r="95" spans="1:14" x14ac:dyDescent="0.3">
      <c r="A95" s="137"/>
      <c r="B95" s="134" t="str">
        <f>IF(control!A92="","",control!A92)</f>
        <v/>
      </c>
      <c r="C95" s="146" t="str">
        <f>IFERROR(IF(control!C92="","",control!C92),0)</f>
        <v/>
      </c>
      <c r="D95" s="147" t="str">
        <f t="shared" si="9"/>
        <v/>
      </c>
      <c r="E95" s="151"/>
      <c r="F95" s="152"/>
      <c r="G95" s="152"/>
      <c r="H95" s="148"/>
      <c r="I95" s="149" t="str">
        <f t="shared" si="8"/>
        <v/>
      </c>
      <c r="J95" s="150" t="str">
        <f>IF(I95="","",IF(AND(MASTER!$I$14="Regular",LEFT(I95,3)="Jul"),MROUND(J94*103%,100),J94))</f>
        <v/>
      </c>
      <c r="K95" s="153"/>
      <c r="L95" s="154"/>
      <c r="M95" s="154"/>
      <c r="N95" s="137"/>
    </row>
    <row r="96" spans="1:14" x14ac:dyDescent="0.3">
      <c r="A96" s="137"/>
      <c r="B96" s="137"/>
      <c r="C96" s="137"/>
      <c r="D96" s="137"/>
      <c r="E96" s="137"/>
      <c r="F96" s="137"/>
      <c r="G96" s="137"/>
      <c r="H96" s="137"/>
      <c r="I96" s="137"/>
      <c r="J96" s="137"/>
      <c r="K96" s="137"/>
      <c r="L96" s="137"/>
      <c r="M96" s="137"/>
      <c r="N96" s="137"/>
    </row>
  </sheetData>
  <sheetProtection password="CE76" sheet="1" objects="1" scenarios="1" formatColumns="0" formatRows="0"/>
  <mergeCells count="15">
    <mergeCell ref="J6:L6"/>
    <mergeCell ref="B6:D6"/>
    <mergeCell ref="E6:G6"/>
    <mergeCell ref="E8:F8"/>
    <mergeCell ref="B2:M2"/>
    <mergeCell ref="B3:M3"/>
    <mergeCell ref="B4:D4"/>
    <mergeCell ref="J4:L4"/>
    <mergeCell ref="E4:G4"/>
    <mergeCell ref="H7:J7"/>
    <mergeCell ref="C9:L9"/>
    <mergeCell ref="B8:D8"/>
    <mergeCell ref="B10:B11"/>
    <mergeCell ref="C10:G10"/>
    <mergeCell ref="I10:M10"/>
  </mergeCells>
  <dataValidations count="3">
    <dataValidation type="date" operator="lessThan" allowBlank="1" showInputMessage="1" showErrorMessage="1" sqref="K8">
      <formula1>EOMONTH(I8,36)</formula1>
    </dataValidation>
    <dataValidation type="list" allowBlank="1" showInputMessage="1" showErrorMessage="1" sqref="M4">
      <formula1>"Yes,No"</formula1>
    </dataValidation>
    <dataValidation type="date" operator="lessThan" allowBlank="1" showInputMessage="1" showErrorMessage="1" sqref="J8">
      <formula1>EOMONTH(H8,84)</formula1>
    </dataValidation>
  </dataValidations>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C000"/>
    <pageSetUpPr fitToPage="1"/>
  </sheetPr>
  <dimension ref="A1:AJ111"/>
  <sheetViews>
    <sheetView showGridLines="0" topLeftCell="A25" zoomScaleNormal="100" workbookViewId="0">
      <selection activeCell="I103" sqref="I103"/>
    </sheetView>
  </sheetViews>
  <sheetFormatPr defaultColWidth="8.77734375" defaultRowHeight="14.4" x14ac:dyDescent="0.3"/>
  <cols>
    <col min="1" max="1" width="3.21875" style="209" customWidth="1"/>
    <col min="2" max="2" width="5.33203125" style="1" customWidth="1"/>
    <col min="3" max="3" width="8.77734375" style="1"/>
    <col min="4" max="4" width="8.5546875" style="1" customWidth="1"/>
    <col min="5" max="5" width="8.77734375" style="1"/>
    <col min="6" max="6" width="7.21875" style="1" customWidth="1"/>
    <col min="7" max="15" width="8.77734375" style="1"/>
    <col min="16" max="16" width="6.88671875" style="1" customWidth="1"/>
    <col min="17" max="17" width="6.77734375" style="1" customWidth="1"/>
    <col min="18" max="19" width="7.21875" style="1" customWidth="1"/>
    <col min="20" max="20" width="6.6640625" style="1" customWidth="1"/>
    <col min="21" max="21" width="6.5546875" style="1" customWidth="1"/>
    <col min="22" max="22" width="6.33203125" style="1" hidden="1" customWidth="1"/>
    <col min="23" max="23" width="6.6640625" style="1" hidden="1" customWidth="1"/>
    <col min="24" max="24" width="5.6640625" style="1" hidden="1" customWidth="1"/>
    <col min="25" max="25" width="6" style="1" customWidth="1"/>
    <col min="26" max="27" width="6.21875" style="1" customWidth="1"/>
    <col min="28" max="28" width="6.6640625" style="1" customWidth="1"/>
    <col min="29" max="29" width="6.21875" style="1" customWidth="1"/>
    <col min="30" max="31" width="6.109375" style="1" customWidth="1"/>
    <col min="32" max="32" width="6.77734375" style="1" customWidth="1"/>
    <col min="33" max="35" width="8.77734375" style="1"/>
    <col min="36" max="36" width="2.88671875" style="1" customWidth="1"/>
    <col min="37" max="16384" width="8.77734375" style="1"/>
  </cols>
  <sheetData>
    <row r="1" spans="1:36" x14ac:dyDescent="0.3">
      <c r="A1" s="206"/>
      <c r="B1" s="168"/>
      <c r="C1" s="168"/>
      <c r="D1" s="168"/>
      <c r="E1" s="168"/>
      <c r="F1" s="168"/>
      <c r="G1" s="205"/>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row>
    <row r="2" spans="1:36" s="170" customFormat="1" ht="27.45" customHeight="1" x14ac:dyDescent="0.5">
      <c r="A2" s="207"/>
      <c r="B2" s="373" t="str">
        <f>ORDER!B2</f>
        <v xml:space="preserve">कार्यालय प्रधानाचार्य राजकीय उच्च माध्यमिक विद्यालय राजपुरा पिपेरन  श्री गंगानगर </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169"/>
    </row>
    <row r="3" spans="1:36" s="172" customFormat="1" ht="23.55" customHeight="1" x14ac:dyDescent="0.3">
      <c r="A3" s="208"/>
      <c r="B3" s="374" t="str">
        <f>'DATA ENTRY'!E8&amp;" " &amp;"FROM"&amp;"  "&amp;TEXT('DATA ENTRY'!H8,"Mmmm-yyyy")&amp;"  "&amp;"TO"&amp;"  "&amp;TEXT('DATA ENTRY'!J8,"mmmm-yyyy")</f>
        <v>NOTIONAL ARREAR FROM  July-2019  TO  January-2023</v>
      </c>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171"/>
    </row>
    <row r="4" spans="1:36" ht="17.399999999999999" x14ac:dyDescent="0.3">
      <c r="A4" s="206"/>
      <c r="C4" s="375" t="s">
        <v>130</v>
      </c>
      <c r="D4" s="375"/>
      <c r="E4" s="376" t="str">
        <f>'DATA ENTRY'!E4</f>
        <v>RAMCHANDER SWAMI</v>
      </c>
      <c r="F4" s="376"/>
      <c r="G4" s="376"/>
      <c r="H4" s="376"/>
      <c r="I4" s="173"/>
      <c r="J4" s="173"/>
      <c r="L4" s="181" t="s">
        <v>131</v>
      </c>
      <c r="M4" s="376" t="str">
        <f>'DATA ENTRY'!E6</f>
        <v>HEADMASTER</v>
      </c>
      <c r="N4" s="376"/>
      <c r="O4" s="376"/>
      <c r="AE4" s="180" t="s">
        <v>222</v>
      </c>
      <c r="AF4" s="377" t="str">
        <f>MASTER!G8</f>
        <v>RJGA99999999999</v>
      </c>
      <c r="AG4" s="377"/>
      <c r="AH4" s="377"/>
      <c r="AI4" s="174"/>
      <c r="AJ4" s="168"/>
    </row>
    <row r="5" spans="1:36" ht="7.05" customHeight="1" x14ac:dyDescent="0.3">
      <c r="A5" s="206"/>
      <c r="C5" s="175"/>
      <c r="D5" s="175"/>
      <c r="AJ5" s="168"/>
    </row>
    <row r="6" spans="1:36" x14ac:dyDescent="0.3">
      <c r="A6" s="206"/>
      <c r="B6" s="369" t="s">
        <v>132</v>
      </c>
      <c r="C6" s="371" t="s">
        <v>118</v>
      </c>
      <c r="D6" s="362" t="s">
        <v>133</v>
      </c>
      <c r="E6" s="362"/>
      <c r="F6" s="362"/>
      <c r="G6" s="362"/>
      <c r="H6" s="362" t="s">
        <v>134</v>
      </c>
      <c r="I6" s="362"/>
      <c r="J6" s="362"/>
      <c r="K6" s="362"/>
      <c r="L6" s="362" t="s">
        <v>135</v>
      </c>
      <c r="M6" s="362"/>
      <c r="N6" s="362"/>
      <c r="O6" s="362"/>
      <c r="P6" s="362" t="s">
        <v>136</v>
      </c>
      <c r="Q6" s="362"/>
      <c r="R6" s="362"/>
      <c r="S6" s="362"/>
      <c r="T6" s="362"/>
      <c r="U6" s="362"/>
      <c r="V6" s="362"/>
      <c r="W6" s="362"/>
      <c r="X6" s="362"/>
      <c r="Y6" s="362"/>
      <c r="Z6" s="362"/>
      <c r="AA6" s="362"/>
      <c r="AB6" s="362"/>
      <c r="AC6" s="362"/>
      <c r="AD6" s="362"/>
      <c r="AE6" s="103"/>
      <c r="AF6" s="371" t="s">
        <v>137</v>
      </c>
      <c r="AG6" s="371" t="s">
        <v>181</v>
      </c>
      <c r="AH6" s="371" t="s">
        <v>182</v>
      </c>
      <c r="AI6" s="371" t="s">
        <v>183</v>
      </c>
      <c r="AJ6" s="168"/>
    </row>
    <row r="7" spans="1:36" x14ac:dyDescent="0.3">
      <c r="A7" s="206"/>
      <c r="B7" s="370"/>
      <c r="C7" s="371"/>
      <c r="D7" s="362" t="s">
        <v>119</v>
      </c>
      <c r="E7" s="362" t="s">
        <v>138</v>
      </c>
      <c r="F7" s="362" t="s">
        <v>139</v>
      </c>
      <c r="G7" s="362" t="s">
        <v>140</v>
      </c>
      <c r="H7" s="362" t="s">
        <v>119</v>
      </c>
      <c r="I7" s="362" t="s">
        <v>138</v>
      </c>
      <c r="J7" s="362" t="s">
        <v>139</v>
      </c>
      <c r="K7" s="362" t="s">
        <v>140</v>
      </c>
      <c r="L7" s="362" t="s">
        <v>119</v>
      </c>
      <c r="M7" s="362" t="s">
        <v>138</v>
      </c>
      <c r="N7" s="362" t="s">
        <v>139</v>
      </c>
      <c r="O7" s="362" t="s">
        <v>140</v>
      </c>
      <c r="P7" s="362" t="s">
        <v>141</v>
      </c>
      <c r="Q7" s="362"/>
      <c r="R7" s="362"/>
      <c r="S7" s="366" t="s">
        <v>142</v>
      </c>
      <c r="T7" s="367"/>
      <c r="U7" s="368"/>
      <c r="V7" s="362" t="s">
        <v>143</v>
      </c>
      <c r="W7" s="362"/>
      <c r="X7" s="362"/>
      <c r="Y7" s="372" t="s">
        <v>318</v>
      </c>
      <c r="Z7" s="372"/>
      <c r="AA7" s="372"/>
      <c r="AB7" s="372" t="s">
        <v>144</v>
      </c>
      <c r="AC7" s="372"/>
      <c r="AD7" s="372"/>
      <c r="AE7" s="105" t="s">
        <v>224</v>
      </c>
      <c r="AF7" s="371"/>
      <c r="AG7" s="371"/>
      <c r="AH7" s="371"/>
      <c r="AI7" s="371"/>
      <c r="AJ7" s="168"/>
    </row>
    <row r="8" spans="1:36" x14ac:dyDescent="0.3">
      <c r="A8" s="206"/>
      <c r="B8" s="370"/>
      <c r="C8" s="369"/>
      <c r="D8" s="363"/>
      <c r="E8" s="363"/>
      <c r="F8" s="363"/>
      <c r="G8" s="363"/>
      <c r="H8" s="363"/>
      <c r="I8" s="363"/>
      <c r="J8" s="363"/>
      <c r="K8" s="363"/>
      <c r="L8" s="363"/>
      <c r="M8" s="363"/>
      <c r="N8" s="363"/>
      <c r="O8" s="363"/>
      <c r="P8" s="104" t="s">
        <v>145</v>
      </c>
      <c r="Q8" s="104" t="s">
        <v>146</v>
      </c>
      <c r="R8" s="104" t="s">
        <v>147</v>
      </c>
      <c r="S8" s="104" t="s">
        <v>145</v>
      </c>
      <c r="T8" s="104" t="s">
        <v>146</v>
      </c>
      <c r="U8" s="104" t="s">
        <v>147</v>
      </c>
      <c r="V8" s="104" t="s">
        <v>145</v>
      </c>
      <c r="W8" s="104" t="s">
        <v>146</v>
      </c>
      <c r="X8" s="104" t="s">
        <v>147</v>
      </c>
      <c r="Y8" s="104" t="s">
        <v>145</v>
      </c>
      <c r="Z8" s="104" t="s">
        <v>146</v>
      </c>
      <c r="AA8" s="104" t="s">
        <v>147</v>
      </c>
      <c r="AB8" s="104" t="s">
        <v>145</v>
      </c>
      <c r="AC8" s="104" t="s">
        <v>146</v>
      </c>
      <c r="AD8" s="104" t="s">
        <v>147</v>
      </c>
      <c r="AE8" s="104"/>
      <c r="AF8" s="369"/>
      <c r="AG8" s="369"/>
      <c r="AH8" s="369"/>
      <c r="AI8" s="369"/>
      <c r="AJ8" s="168"/>
    </row>
    <row r="9" spans="1:36" x14ac:dyDescent="0.3">
      <c r="A9" s="206" t="str">
        <f ca="1">IF(D9="","v","")</f>
        <v/>
      </c>
      <c r="B9" s="165">
        <f>IF(control!A9="","",control!A9)</f>
        <v>1</v>
      </c>
      <c r="C9" s="165" t="str">
        <f>IF(control!C9="","",control!C9)</f>
        <v>Jul-19</v>
      </c>
      <c r="D9" s="165">
        <f ca="1">IF(C9="March-20",control!E9/2,control!E9)</f>
        <v>44300</v>
      </c>
      <c r="E9" s="165">
        <f ca="1">IFERROR(ROUND(D9*'DATA ENTRY'!F12,0),0)</f>
        <v>7531</v>
      </c>
      <c r="F9" s="165">
        <f ca="1">IFERROR(ROUND(D9*'DATA ENTRY'!G12,0),0)</f>
        <v>3544</v>
      </c>
      <c r="G9" s="165">
        <f ca="1">IFERROR(D9+E9+F9,0)</f>
        <v>55375</v>
      </c>
      <c r="H9" s="165">
        <f>control!G9</f>
        <v>46500</v>
      </c>
      <c r="I9" s="165">
        <f>IFERROR(IF(MASTER!$I$14="Fix Pay",0,ROUND(H9*'DATA ENTRY'!L12,0)),0)</f>
        <v>0</v>
      </c>
      <c r="J9" s="165">
        <f>IFERROR(IF(MASTER!$I$14="Fix Pay",0,ROUND(H9*'DATA ENTRY'!M12,0)),0)</f>
        <v>0</v>
      </c>
      <c r="K9" s="165">
        <f>IFERROR(H9+I9+J9,0)</f>
        <v>46500</v>
      </c>
      <c r="L9" s="165">
        <f ca="1">IFERROR(D9-H9,0)</f>
        <v>-2200</v>
      </c>
      <c r="M9" s="165">
        <f ca="1">IFERROR(E9-I9,0)</f>
        <v>7531</v>
      </c>
      <c r="N9" s="165">
        <f ca="1">IFERROR(F9-J9,0)</f>
        <v>3544</v>
      </c>
      <c r="O9" s="165">
        <f ca="1">IFERROR(L9+M9+N9,0)</f>
        <v>8875</v>
      </c>
      <c r="P9" s="385"/>
      <c r="Q9" s="385"/>
      <c r="R9" s="165">
        <f>IFERROR(P9-Q9,0)</f>
        <v>0</v>
      </c>
      <c r="S9" s="176"/>
      <c r="T9" s="176"/>
      <c r="U9" s="165">
        <f>IFERROR(S9-T9,0)</f>
        <v>0</v>
      </c>
      <c r="V9" s="176"/>
      <c r="W9" s="176"/>
      <c r="X9" s="165">
        <f>IFERROR(V9-W9,0)</f>
        <v>0</v>
      </c>
      <c r="Y9" s="176"/>
      <c r="Z9" s="176"/>
      <c r="AA9" s="165">
        <f>IFERROR(Y9-Z9,0)</f>
        <v>0</v>
      </c>
      <c r="AB9" s="176"/>
      <c r="AC9" s="176"/>
      <c r="AD9" s="165">
        <f>IFERROR(AB9-AC9,0)</f>
        <v>0</v>
      </c>
      <c r="AE9" s="176">
        <v>100</v>
      </c>
      <c r="AF9" s="165">
        <f>R9+U9+X9+AA9+AD9+AE9</f>
        <v>100</v>
      </c>
      <c r="AG9" s="165">
        <f ca="1">O9-AF9</f>
        <v>8775</v>
      </c>
      <c r="AH9" s="176"/>
      <c r="AI9" s="176"/>
      <c r="AJ9" s="168"/>
    </row>
    <row r="10" spans="1:36" x14ac:dyDescent="0.3">
      <c r="A10" s="206" t="str">
        <f t="shared" ref="A10:A13" ca="1" si="0">IF(D10="","v","")</f>
        <v/>
      </c>
      <c r="B10" s="165">
        <f>IF(control!A10="","",control!A10)</f>
        <v>2</v>
      </c>
      <c r="C10" s="165" t="str">
        <f>IF(control!C10="","",control!C10)</f>
        <v>Aug-19</v>
      </c>
      <c r="D10" s="165">
        <f ca="1">IF(C10="March-20",control!E10/2,control!E10)</f>
        <v>44300</v>
      </c>
      <c r="E10" s="165">
        <f ca="1">IFERROR(ROUND(D10*'DATA ENTRY'!F13,0),0)</f>
        <v>7531</v>
      </c>
      <c r="F10" s="165">
        <f ca="1">IFERROR(ROUND(D10*'DATA ENTRY'!G13,0),0)</f>
        <v>3544</v>
      </c>
      <c r="G10" s="165">
        <f t="shared" ref="G10:G32" ca="1" si="1">IFERROR(D10+E10+F10,0)</f>
        <v>55375</v>
      </c>
      <c r="H10" s="165">
        <f>control!G10</f>
        <v>46500</v>
      </c>
      <c r="I10" s="165">
        <f>IFERROR(IF(MASTER!$I$14="Fix Pay",0,ROUND(H10*'DATA ENTRY'!L13,0)),0)</f>
        <v>0</v>
      </c>
      <c r="J10" s="165">
        <f>IFERROR(IF(MASTER!$I$14="Fix Pay",0,ROUND(H10*'DATA ENTRY'!M13,0)),0)</f>
        <v>0</v>
      </c>
      <c r="K10" s="165">
        <f t="shared" ref="K10:K32" si="2">IFERROR(H10+I10+J10,0)</f>
        <v>46500</v>
      </c>
      <c r="L10" s="165">
        <f t="shared" ref="L10:N32" ca="1" si="3">IFERROR(D10-H10,0)</f>
        <v>-2200</v>
      </c>
      <c r="M10" s="165">
        <f t="shared" ca="1" si="3"/>
        <v>7531</v>
      </c>
      <c r="N10" s="165">
        <f t="shared" ca="1" si="3"/>
        <v>3544</v>
      </c>
      <c r="O10" s="165">
        <f t="shared" ref="O10:O32" ca="1" si="4">IFERROR(L10+M10+N10,0)</f>
        <v>8875</v>
      </c>
      <c r="P10" s="385"/>
      <c r="Q10" s="385"/>
      <c r="R10" s="165">
        <f>IFERROR(P10-Q10,0)</f>
        <v>0</v>
      </c>
      <c r="S10" s="176"/>
      <c r="T10" s="176"/>
      <c r="U10" s="165">
        <f t="shared" ref="U10:U32" si="5">IFERROR(S10-T10,0)</f>
        <v>0</v>
      </c>
      <c r="V10" s="176"/>
      <c r="W10" s="176"/>
      <c r="X10" s="165">
        <f t="shared" ref="X10:X32" si="6">IFERROR(V10-W10,0)</f>
        <v>0</v>
      </c>
      <c r="Y10" s="176"/>
      <c r="Z10" s="176"/>
      <c r="AA10" s="165">
        <f>IFERROR(Y10-Z10,0)</f>
        <v>0</v>
      </c>
      <c r="AB10" s="176"/>
      <c r="AC10" s="176"/>
      <c r="AD10" s="165">
        <f t="shared" ref="AD10:AD32" si="7">IFERROR(AB10-AC10,0)</f>
        <v>0</v>
      </c>
      <c r="AE10" s="176"/>
      <c r="AF10" s="165">
        <f t="shared" ref="AF10:AF56" si="8">R10+U10+X10+AA10+AD10+AE10</f>
        <v>0</v>
      </c>
      <c r="AG10" s="165">
        <f t="shared" ref="AG10:AG32" ca="1" si="9">O10-AF10</f>
        <v>8875</v>
      </c>
      <c r="AH10" s="176"/>
      <c r="AI10" s="176"/>
      <c r="AJ10" s="168"/>
    </row>
    <row r="11" spans="1:36" x14ac:dyDescent="0.3">
      <c r="A11" s="206" t="str">
        <f t="shared" ca="1" si="0"/>
        <v/>
      </c>
      <c r="B11" s="165">
        <f>IF(control!A11="","",control!A11)</f>
        <v>3</v>
      </c>
      <c r="C11" s="165" t="str">
        <f>IF(control!C11="","",control!C11)</f>
        <v>Sep-19</v>
      </c>
      <c r="D11" s="165">
        <f ca="1">IF(C11="Mar-20",control!E11/2,control!E11)</f>
        <v>44300</v>
      </c>
      <c r="E11" s="165">
        <f ca="1">IFERROR(ROUND(D11*'DATA ENTRY'!F14,0),0)</f>
        <v>7531</v>
      </c>
      <c r="F11" s="165">
        <f ca="1">IFERROR(ROUND(D11*'DATA ENTRY'!G14,0),0)</f>
        <v>3544</v>
      </c>
      <c r="G11" s="165">
        <f t="shared" ca="1" si="1"/>
        <v>55375</v>
      </c>
      <c r="H11" s="165">
        <f>control!G11</f>
        <v>46500</v>
      </c>
      <c r="I11" s="165">
        <f>IFERROR(IF(MASTER!$I$14="Fix Pay",0,ROUND(H11*'DATA ENTRY'!L14,0)),0)</f>
        <v>0</v>
      </c>
      <c r="J11" s="165">
        <f>IFERROR(IF(MASTER!$I$14="Fix Pay",0,ROUND(H11*'DATA ENTRY'!M14,0)),0)</f>
        <v>0</v>
      </c>
      <c r="K11" s="165">
        <f t="shared" si="2"/>
        <v>46500</v>
      </c>
      <c r="L11" s="165">
        <f t="shared" ca="1" si="3"/>
        <v>-2200</v>
      </c>
      <c r="M11" s="165">
        <f t="shared" ca="1" si="3"/>
        <v>7531</v>
      </c>
      <c r="N11" s="165">
        <f t="shared" ca="1" si="3"/>
        <v>3544</v>
      </c>
      <c r="O11" s="165">
        <f t="shared" ca="1" si="4"/>
        <v>8875</v>
      </c>
      <c r="P11" s="385"/>
      <c r="Q11" s="385"/>
      <c r="R11" s="165">
        <f t="shared" ref="R11:R32" si="10">IFERROR(P11-Q11,0)</f>
        <v>0</v>
      </c>
      <c r="S11" s="176"/>
      <c r="T11" s="176"/>
      <c r="U11" s="165">
        <f t="shared" si="5"/>
        <v>0</v>
      </c>
      <c r="V11" s="176"/>
      <c r="W11" s="176"/>
      <c r="X11" s="165">
        <f t="shared" si="6"/>
        <v>0</v>
      </c>
      <c r="Y11" s="176"/>
      <c r="Z11" s="176"/>
      <c r="AA11" s="165">
        <f t="shared" ref="AA11:AA32" si="11">IFERROR(Y11-Z11,0)</f>
        <v>0</v>
      </c>
      <c r="AB11" s="176"/>
      <c r="AC11" s="176"/>
      <c r="AD11" s="165">
        <f t="shared" si="7"/>
        <v>0</v>
      </c>
      <c r="AE11" s="176"/>
      <c r="AF11" s="165">
        <f t="shared" si="8"/>
        <v>0</v>
      </c>
      <c r="AG11" s="165">
        <f t="shared" ca="1" si="9"/>
        <v>8875</v>
      </c>
      <c r="AH11" s="176"/>
      <c r="AI11" s="176"/>
      <c r="AJ11" s="168"/>
    </row>
    <row r="12" spans="1:36" x14ac:dyDescent="0.3">
      <c r="A12" s="206" t="str">
        <f t="shared" ca="1" si="0"/>
        <v/>
      </c>
      <c r="B12" s="165">
        <f>IF(control!A12="","",control!A12)</f>
        <v>4</v>
      </c>
      <c r="C12" s="165" t="str">
        <f>IF(control!C12="","",control!C12)</f>
        <v>Oct-19</v>
      </c>
      <c r="D12" s="165">
        <f ca="1">IF(C12="March-20",control!E12/2,control!E12)</f>
        <v>44300</v>
      </c>
      <c r="E12" s="165">
        <f ca="1">IFERROR(ROUND(D12*'DATA ENTRY'!F15,0),0)</f>
        <v>7531</v>
      </c>
      <c r="F12" s="165">
        <f ca="1">IFERROR(ROUND(D12*'DATA ENTRY'!G15,0),0)</f>
        <v>3544</v>
      </c>
      <c r="G12" s="165">
        <f t="shared" ca="1" si="1"/>
        <v>55375</v>
      </c>
      <c r="H12" s="165">
        <f>control!G12</f>
        <v>46500</v>
      </c>
      <c r="I12" s="165">
        <f>IFERROR(IF(MASTER!$I$14="Fix Pay",0,ROUND(H12*'DATA ENTRY'!L15,0)),0)</f>
        <v>0</v>
      </c>
      <c r="J12" s="165">
        <f>IFERROR(IF(MASTER!$I$14="Fix Pay",0,ROUND(H12*'DATA ENTRY'!M15,0)),0)</f>
        <v>3720</v>
      </c>
      <c r="K12" s="165">
        <f t="shared" si="2"/>
        <v>50220</v>
      </c>
      <c r="L12" s="165">
        <f t="shared" ca="1" si="3"/>
        <v>-2200</v>
      </c>
      <c r="M12" s="165">
        <f t="shared" ca="1" si="3"/>
        <v>7531</v>
      </c>
      <c r="N12" s="165">
        <f t="shared" ca="1" si="3"/>
        <v>-176</v>
      </c>
      <c r="O12" s="165">
        <f t="shared" ca="1" si="4"/>
        <v>5155</v>
      </c>
      <c r="P12" s="385"/>
      <c r="Q12" s="385"/>
      <c r="R12" s="165">
        <f t="shared" si="10"/>
        <v>0</v>
      </c>
      <c r="S12" s="176"/>
      <c r="T12" s="176"/>
      <c r="U12" s="165">
        <f t="shared" si="5"/>
        <v>0</v>
      </c>
      <c r="V12" s="176"/>
      <c r="W12" s="176"/>
      <c r="X12" s="165">
        <f t="shared" si="6"/>
        <v>0</v>
      </c>
      <c r="Y12" s="176"/>
      <c r="Z12" s="176"/>
      <c r="AA12" s="165">
        <f t="shared" si="11"/>
        <v>0</v>
      </c>
      <c r="AB12" s="176"/>
      <c r="AC12" s="176"/>
      <c r="AD12" s="165">
        <f t="shared" si="7"/>
        <v>0</v>
      </c>
      <c r="AE12" s="176"/>
      <c r="AF12" s="165">
        <f t="shared" si="8"/>
        <v>0</v>
      </c>
      <c r="AG12" s="165">
        <f t="shared" ca="1" si="9"/>
        <v>5155</v>
      </c>
      <c r="AH12" s="176"/>
      <c r="AI12" s="176"/>
      <c r="AJ12" s="168"/>
    </row>
    <row r="13" spans="1:36" x14ac:dyDescent="0.3">
      <c r="A13" s="206" t="str">
        <f t="shared" ca="1" si="0"/>
        <v/>
      </c>
      <c r="B13" s="165">
        <f>IF(control!A13="","",control!A13)</f>
        <v>5</v>
      </c>
      <c r="C13" s="165" t="str">
        <f>IF(control!C13="","",control!C13)</f>
        <v>Nov-19</v>
      </c>
      <c r="D13" s="165">
        <f ca="1">IF(C13="March-20",control!E13/2,control!E13)</f>
        <v>44300</v>
      </c>
      <c r="E13" s="165">
        <f ca="1">IFERROR(ROUND(D13*'DATA ENTRY'!F16,0),0)</f>
        <v>7531</v>
      </c>
      <c r="F13" s="165">
        <f ca="1">IFERROR(ROUND(D13*'DATA ENTRY'!G16,0),0)</f>
        <v>3544</v>
      </c>
      <c r="G13" s="165">
        <f t="shared" ca="1" si="1"/>
        <v>55375</v>
      </c>
      <c r="H13" s="165">
        <f>control!G13</f>
        <v>46500</v>
      </c>
      <c r="I13" s="165">
        <f>IFERROR(IF(MASTER!$I$14="Fix Pay",0,ROUND(H13*'DATA ENTRY'!L16,0)),0)</f>
        <v>5580</v>
      </c>
      <c r="J13" s="165">
        <f>IFERROR(IF(MASTER!$I$14="Fix Pay",0,ROUND(H13*'DATA ENTRY'!M16,0)),0)</f>
        <v>3720</v>
      </c>
      <c r="K13" s="165">
        <f t="shared" si="2"/>
        <v>55800</v>
      </c>
      <c r="L13" s="165">
        <f t="shared" ca="1" si="3"/>
        <v>-2200</v>
      </c>
      <c r="M13" s="165">
        <f t="shared" ca="1" si="3"/>
        <v>1951</v>
      </c>
      <c r="N13" s="165">
        <f t="shared" ca="1" si="3"/>
        <v>-176</v>
      </c>
      <c r="O13" s="165">
        <f t="shared" ca="1" si="4"/>
        <v>-425</v>
      </c>
      <c r="P13" s="385"/>
      <c r="Q13" s="385"/>
      <c r="R13" s="165">
        <f t="shared" si="10"/>
        <v>0</v>
      </c>
      <c r="S13" s="176"/>
      <c r="T13" s="176"/>
      <c r="U13" s="165">
        <f t="shared" si="5"/>
        <v>0</v>
      </c>
      <c r="V13" s="176"/>
      <c r="W13" s="176"/>
      <c r="X13" s="165">
        <f t="shared" si="6"/>
        <v>0</v>
      </c>
      <c r="Y13" s="176"/>
      <c r="Z13" s="176"/>
      <c r="AA13" s="165">
        <f t="shared" si="11"/>
        <v>0</v>
      </c>
      <c r="AB13" s="176"/>
      <c r="AC13" s="176"/>
      <c r="AD13" s="165">
        <f t="shared" si="7"/>
        <v>0</v>
      </c>
      <c r="AE13" s="176"/>
      <c r="AF13" s="165">
        <f t="shared" si="8"/>
        <v>0</v>
      </c>
      <c r="AG13" s="165">
        <f t="shared" ca="1" si="9"/>
        <v>-425</v>
      </c>
      <c r="AH13" s="176"/>
      <c r="AI13" s="176"/>
      <c r="AJ13" s="168"/>
    </row>
    <row r="14" spans="1:36" x14ac:dyDescent="0.3">
      <c r="A14" s="206" t="str">
        <f ca="1">IF(D14="","v","")</f>
        <v/>
      </c>
      <c r="B14" s="165">
        <f>IF(control!A14="","",control!A14)</f>
        <v>6</v>
      </c>
      <c r="C14" s="165" t="str">
        <f>IF(control!C14="","",control!C14)</f>
        <v>Dec-19</v>
      </c>
      <c r="D14" s="165">
        <f ca="1">IF(C14="March-20",control!E14/2,control!E14)</f>
        <v>44300</v>
      </c>
      <c r="E14" s="165">
        <f ca="1">IFERROR(ROUND(D14*'DATA ENTRY'!F17,0),0)</f>
        <v>7531</v>
      </c>
      <c r="F14" s="165">
        <f ca="1">IFERROR(ROUND(D14*'DATA ENTRY'!G17,0),0)</f>
        <v>3544</v>
      </c>
      <c r="G14" s="165">
        <f t="shared" ca="1" si="1"/>
        <v>55375</v>
      </c>
      <c r="H14" s="165">
        <f>control!G14</f>
        <v>46500</v>
      </c>
      <c r="I14" s="165">
        <f>IFERROR(IF(MASTER!$I$14="Fix Pay",0,ROUND(H14*'DATA ENTRY'!L17,0)),0)</f>
        <v>7905</v>
      </c>
      <c r="J14" s="165">
        <f>IFERROR(IF(MASTER!$I$14="Fix Pay",0,ROUND(H14*'DATA ENTRY'!M17,0)),0)</f>
        <v>3720</v>
      </c>
      <c r="K14" s="165">
        <f t="shared" si="2"/>
        <v>58125</v>
      </c>
      <c r="L14" s="165">
        <f t="shared" ca="1" si="3"/>
        <v>-2200</v>
      </c>
      <c r="M14" s="165">
        <f t="shared" ca="1" si="3"/>
        <v>-374</v>
      </c>
      <c r="N14" s="165">
        <f t="shared" ca="1" si="3"/>
        <v>-176</v>
      </c>
      <c r="O14" s="165">
        <f t="shared" ca="1" si="4"/>
        <v>-2750</v>
      </c>
      <c r="P14" s="385"/>
      <c r="Q14" s="385"/>
      <c r="R14" s="165">
        <f t="shared" si="10"/>
        <v>0</v>
      </c>
      <c r="S14" s="176"/>
      <c r="T14" s="176"/>
      <c r="U14" s="165">
        <f t="shared" si="5"/>
        <v>0</v>
      </c>
      <c r="V14" s="176"/>
      <c r="W14" s="176"/>
      <c r="X14" s="165">
        <f t="shared" si="6"/>
        <v>0</v>
      </c>
      <c r="Y14" s="176"/>
      <c r="Z14" s="176"/>
      <c r="AA14" s="165">
        <f t="shared" si="11"/>
        <v>0</v>
      </c>
      <c r="AB14" s="176"/>
      <c r="AC14" s="176"/>
      <c r="AD14" s="165">
        <f t="shared" si="7"/>
        <v>0</v>
      </c>
      <c r="AE14" s="176"/>
      <c r="AF14" s="165">
        <f t="shared" si="8"/>
        <v>0</v>
      </c>
      <c r="AG14" s="165">
        <f t="shared" ca="1" si="9"/>
        <v>-2750</v>
      </c>
      <c r="AH14" s="176"/>
      <c r="AI14" s="176"/>
      <c r="AJ14" s="168"/>
    </row>
    <row r="15" spans="1:36" x14ac:dyDescent="0.3">
      <c r="A15" s="206" t="str">
        <f t="shared" ref="A15:A68" ca="1" si="12">IF(D15="","v","")</f>
        <v/>
      </c>
      <c r="B15" s="165">
        <f>IF(control!A15="","",control!A15)</f>
        <v>7</v>
      </c>
      <c r="C15" s="165" t="str">
        <f>IF(control!C15="","",control!C15)</f>
        <v>Jan-20</v>
      </c>
      <c r="D15" s="165">
        <f ca="1">control!E15</f>
        <v>44300</v>
      </c>
      <c r="E15" s="165">
        <f ca="1">IFERROR(ROUND(D15*'DATA ENTRY'!F18,0),0)</f>
        <v>7531</v>
      </c>
      <c r="F15" s="165">
        <f ca="1">IFERROR(ROUND(D15*'DATA ENTRY'!G18,0),0)</f>
        <v>3544</v>
      </c>
      <c r="G15" s="165">
        <f t="shared" ca="1" si="1"/>
        <v>55375</v>
      </c>
      <c r="H15" s="165">
        <f>control!G15</f>
        <v>46500</v>
      </c>
      <c r="I15" s="165">
        <f>IFERROR(IF(MASTER!$I$14="Fix Pay",0,ROUND(H15*'DATA ENTRY'!L18,0)),0)</f>
        <v>7905</v>
      </c>
      <c r="J15" s="165">
        <f>IFERROR(IF(MASTER!$I$14="Fix Pay",0,ROUND(H15*'DATA ENTRY'!M18,0)),0)</f>
        <v>3720</v>
      </c>
      <c r="K15" s="165">
        <f t="shared" si="2"/>
        <v>58125</v>
      </c>
      <c r="L15" s="165">
        <f t="shared" ca="1" si="3"/>
        <v>-2200</v>
      </c>
      <c r="M15" s="165">
        <f t="shared" ca="1" si="3"/>
        <v>-374</v>
      </c>
      <c r="N15" s="165">
        <f t="shared" ca="1" si="3"/>
        <v>-176</v>
      </c>
      <c r="O15" s="165">
        <f t="shared" ca="1" si="4"/>
        <v>-2750</v>
      </c>
      <c r="P15" s="385"/>
      <c r="Q15" s="385"/>
      <c r="R15" s="165">
        <f t="shared" si="10"/>
        <v>0</v>
      </c>
      <c r="S15" s="176"/>
      <c r="T15" s="176"/>
      <c r="U15" s="165">
        <f t="shared" si="5"/>
        <v>0</v>
      </c>
      <c r="V15" s="176"/>
      <c r="W15" s="176"/>
      <c r="X15" s="165">
        <f t="shared" si="6"/>
        <v>0</v>
      </c>
      <c r="Y15" s="176"/>
      <c r="Z15" s="176"/>
      <c r="AA15" s="165">
        <f t="shared" si="11"/>
        <v>0</v>
      </c>
      <c r="AB15" s="176"/>
      <c r="AC15" s="176"/>
      <c r="AD15" s="165">
        <f t="shared" si="7"/>
        <v>0</v>
      </c>
      <c r="AE15" s="176"/>
      <c r="AF15" s="165">
        <f t="shared" si="8"/>
        <v>0</v>
      </c>
      <c r="AG15" s="165">
        <f t="shared" ca="1" si="9"/>
        <v>-2750</v>
      </c>
      <c r="AH15" s="176"/>
      <c r="AI15" s="176"/>
      <c r="AJ15" s="168"/>
    </row>
    <row r="16" spans="1:36" x14ac:dyDescent="0.3">
      <c r="A16" s="206" t="str">
        <f t="shared" ca="1" si="12"/>
        <v/>
      </c>
      <c r="B16" s="165">
        <f>IF(control!A16="","",control!A16)</f>
        <v>8</v>
      </c>
      <c r="C16" s="165" t="str">
        <f>IF(control!C16="","",control!C16)</f>
        <v>Feb-20</v>
      </c>
      <c r="D16" s="165">
        <f ca="1">control!E16</f>
        <v>44300</v>
      </c>
      <c r="E16" s="165">
        <f ca="1">IFERROR(ROUND(D16*'DATA ENTRY'!F19,0),0)</f>
        <v>7531</v>
      </c>
      <c r="F16" s="165">
        <f ca="1">IFERROR(ROUND(D16*'DATA ENTRY'!G19,0),0)</f>
        <v>3544</v>
      </c>
      <c r="G16" s="165">
        <f t="shared" ca="1" si="1"/>
        <v>55375</v>
      </c>
      <c r="H16" s="165">
        <f>control!G16</f>
        <v>46500</v>
      </c>
      <c r="I16" s="165">
        <f>IFERROR(IF(MASTER!$I$14="Fix Pay",0,ROUND(H16*'DATA ENTRY'!L19,0)),0)</f>
        <v>7905</v>
      </c>
      <c r="J16" s="165">
        <f>IFERROR(IF(MASTER!$I$14="Fix Pay",0,ROUND(H16*'DATA ENTRY'!M19,0)),0)</f>
        <v>3720</v>
      </c>
      <c r="K16" s="165">
        <f t="shared" si="2"/>
        <v>58125</v>
      </c>
      <c r="L16" s="165">
        <f t="shared" ca="1" si="3"/>
        <v>-2200</v>
      </c>
      <c r="M16" s="165">
        <f t="shared" ca="1" si="3"/>
        <v>-374</v>
      </c>
      <c r="N16" s="165">
        <f t="shared" ca="1" si="3"/>
        <v>-176</v>
      </c>
      <c r="O16" s="165">
        <f t="shared" ca="1" si="4"/>
        <v>-2750</v>
      </c>
      <c r="P16" s="385"/>
      <c r="Q16" s="385"/>
      <c r="R16" s="165">
        <f t="shared" si="10"/>
        <v>0</v>
      </c>
      <c r="S16" s="176"/>
      <c r="T16" s="176"/>
      <c r="U16" s="165">
        <f t="shared" si="5"/>
        <v>0</v>
      </c>
      <c r="V16" s="176"/>
      <c r="W16" s="176"/>
      <c r="X16" s="165">
        <f t="shared" si="6"/>
        <v>0</v>
      </c>
      <c r="Y16" s="176"/>
      <c r="Z16" s="176"/>
      <c r="AA16" s="165">
        <f t="shared" si="11"/>
        <v>0</v>
      </c>
      <c r="AB16" s="176"/>
      <c r="AC16" s="176"/>
      <c r="AD16" s="165">
        <f t="shared" si="7"/>
        <v>0</v>
      </c>
      <c r="AE16" s="176"/>
      <c r="AF16" s="165">
        <f t="shared" si="8"/>
        <v>0</v>
      </c>
      <c r="AG16" s="165">
        <f t="shared" ca="1" si="9"/>
        <v>-2750</v>
      </c>
      <c r="AH16" s="176"/>
      <c r="AI16" s="176"/>
      <c r="AJ16" s="168"/>
    </row>
    <row r="17" spans="1:36" x14ac:dyDescent="0.3">
      <c r="A17" s="206" t="str">
        <f t="shared" ca="1" si="12"/>
        <v/>
      </c>
      <c r="B17" s="165">
        <f>IF(control!A17="","",control!A17)</f>
        <v>9</v>
      </c>
      <c r="C17" s="165" t="str">
        <f>IF(control!C17="","",control!C17)</f>
        <v>Mar-20</v>
      </c>
      <c r="D17" s="165">
        <f ca="1">control!E17</f>
        <v>44300</v>
      </c>
      <c r="E17" s="165">
        <f ca="1">IFERROR(ROUND(D17*'DATA ENTRY'!F20,0),0)</f>
        <v>7531</v>
      </c>
      <c r="F17" s="165">
        <f ca="1">IFERROR(ROUND(D17*'DATA ENTRY'!G20,0),0)</f>
        <v>3544</v>
      </c>
      <c r="G17" s="165">
        <f t="shared" ca="1" si="1"/>
        <v>55375</v>
      </c>
      <c r="H17" s="165">
        <f>control!G17</f>
        <v>46500</v>
      </c>
      <c r="I17" s="165">
        <f>IFERROR(IF(MASTER!$I$14="Fix Pay",0,ROUND(H17*'DATA ENTRY'!L20,0)),0)</f>
        <v>7905</v>
      </c>
      <c r="J17" s="165">
        <f>IFERROR(IF(MASTER!$I$14="Fix Pay",0,ROUND(H17*'DATA ENTRY'!M20,0)),0)</f>
        <v>3720</v>
      </c>
      <c r="K17" s="165">
        <f t="shared" si="2"/>
        <v>58125</v>
      </c>
      <c r="L17" s="165">
        <f t="shared" ca="1" si="3"/>
        <v>-2200</v>
      </c>
      <c r="M17" s="165">
        <f t="shared" ca="1" si="3"/>
        <v>-374</v>
      </c>
      <c r="N17" s="165">
        <f t="shared" ca="1" si="3"/>
        <v>-176</v>
      </c>
      <c r="O17" s="165">
        <f t="shared" ca="1" si="4"/>
        <v>-2750</v>
      </c>
      <c r="P17" s="385"/>
      <c r="Q17" s="385"/>
      <c r="R17" s="165">
        <f t="shared" si="10"/>
        <v>0</v>
      </c>
      <c r="S17" s="176"/>
      <c r="T17" s="176"/>
      <c r="U17" s="165">
        <f t="shared" si="5"/>
        <v>0</v>
      </c>
      <c r="V17" s="176"/>
      <c r="W17" s="176"/>
      <c r="X17" s="165">
        <f t="shared" si="6"/>
        <v>0</v>
      </c>
      <c r="Y17" s="176"/>
      <c r="Z17" s="176"/>
      <c r="AA17" s="165">
        <f t="shared" si="11"/>
        <v>0</v>
      </c>
      <c r="AB17" s="176"/>
      <c r="AC17" s="176"/>
      <c r="AD17" s="165">
        <f t="shared" si="7"/>
        <v>0</v>
      </c>
      <c r="AE17" s="176"/>
      <c r="AF17" s="165">
        <f t="shared" si="8"/>
        <v>0</v>
      </c>
      <c r="AG17" s="165">
        <f t="shared" ca="1" si="9"/>
        <v>-2750</v>
      </c>
      <c r="AH17" s="176"/>
      <c r="AI17" s="176"/>
      <c r="AJ17" s="168"/>
    </row>
    <row r="18" spans="1:36" x14ac:dyDescent="0.3">
      <c r="A18" s="206" t="str">
        <f t="shared" ca="1" si="12"/>
        <v/>
      </c>
      <c r="B18" s="165">
        <f>IF(control!A18="","",control!A18)</f>
        <v>10</v>
      </c>
      <c r="C18" s="165" t="str">
        <f>IF(control!C18="","",control!C18)</f>
        <v>Apr-20</v>
      </c>
      <c r="D18" s="165">
        <f ca="1">control!E18</f>
        <v>44300</v>
      </c>
      <c r="E18" s="165">
        <f ca="1">IFERROR(ROUND(D18*'DATA ENTRY'!F21,0),0)</f>
        <v>7531</v>
      </c>
      <c r="F18" s="165">
        <f ca="1">IFERROR(ROUND(D18*'DATA ENTRY'!G21,0),0)</f>
        <v>3544</v>
      </c>
      <c r="G18" s="165">
        <f t="shared" ca="1" si="1"/>
        <v>55375</v>
      </c>
      <c r="H18" s="165">
        <f>control!G18</f>
        <v>46500</v>
      </c>
      <c r="I18" s="165">
        <f>IFERROR(IF(MASTER!$I$14="Fix Pay",0,ROUND(H18*'DATA ENTRY'!L21,0)),0)</f>
        <v>7905</v>
      </c>
      <c r="J18" s="165">
        <f>IFERROR(IF(MASTER!$I$14="Fix Pay",0,ROUND(H18*'DATA ENTRY'!M21,0)),0)</f>
        <v>3720</v>
      </c>
      <c r="K18" s="165">
        <f t="shared" si="2"/>
        <v>58125</v>
      </c>
      <c r="L18" s="165">
        <f t="shared" ca="1" si="3"/>
        <v>-2200</v>
      </c>
      <c r="M18" s="165">
        <f t="shared" ca="1" si="3"/>
        <v>-374</v>
      </c>
      <c r="N18" s="165">
        <f t="shared" ca="1" si="3"/>
        <v>-176</v>
      </c>
      <c r="O18" s="165">
        <f t="shared" ca="1" si="4"/>
        <v>-2750</v>
      </c>
      <c r="P18" s="385"/>
      <c r="Q18" s="385"/>
      <c r="R18" s="165">
        <f t="shared" si="10"/>
        <v>0</v>
      </c>
      <c r="S18" s="176"/>
      <c r="T18" s="176"/>
      <c r="U18" s="165">
        <f t="shared" si="5"/>
        <v>0</v>
      </c>
      <c r="V18" s="176"/>
      <c r="W18" s="176"/>
      <c r="X18" s="165">
        <f t="shared" si="6"/>
        <v>0</v>
      </c>
      <c r="Y18" s="176"/>
      <c r="Z18" s="176"/>
      <c r="AA18" s="165">
        <f t="shared" si="11"/>
        <v>0</v>
      </c>
      <c r="AB18" s="176"/>
      <c r="AC18" s="176"/>
      <c r="AD18" s="165">
        <f t="shared" si="7"/>
        <v>0</v>
      </c>
      <c r="AE18" s="176"/>
      <c r="AF18" s="165">
        <f t="shared" si="8"/>
        <v>0</v>
      </c>
      <c r="AG18" s="165">
        <f t="shared" ca="1" si="9"/>
        <v>-2750</v>
      </c>
      <c r="AH18" s="176"/>
      <c r="AI18" s="176"/>
      <c r="AJ18" s="168"/>
    </row>
    <row r="19" spans="1:36" x14ac:dyDescent="0.3">
      <c r="A19" s="206" t="str">
        <f t="shared" ca="1" si="12"/>
        <v/>
      </c>
      <c r="B19" s="165">
        <f>IF(control!A19="","",control!A19)</f>
        <v>11</v>
      </c>
      <c r="C19" s="165" t="str">
        <f>IF(control!C19="","",control!C19)</f>
        <v>May-20</v>
      </c>
      <c r="D19" s="165">
        <f ca="1">control!E19</f>
        <v>44300</v>
      </c>
      <c r="E19" s="165">
        <f ca="1">IFERROR(ROUND(D19*'DATA ENTRY'!F22,0),0)</f>
        <v>7531</v>
      </c>
      <c r="F19" s="165">
        <f ca="1">IFERROR(ROUND(D19*'DATA ENTRY'!G22,0),0)</f>
        <v>3544</v>
      </c>
      <c r="G19" s="165">
        <f t="shared" ca="1" si="1"/>
        <v>55375</v>
      </c>
      <c r="H19" s="165">
        <f>control!G19</f>
        <v>46500</v>
      </c>
      <c r="I19" s="165">
        <f>IFERROR(IF(MASTER!$I$14="Fix Pay",0,ROUND(H19*'DATA ENTRY'!L22,0)),0)</f>
        <v>7905</v>
      </c>
      <c r="J19" s="165">
        <f>IFERROR(IF(MASTER!$I$14="Fix Pay",0,ROUND(H19*'DATA ENTRY'!M22,0)),0)</f>
        <v>3720</v>
      </c>
      <c r="K19" s="165">
        <f t="shared" si="2"/>
        <v>58125</v>
      </c>
      <c r="L19" s="165">
        <f t="shared" ca="1" si="3"/>
        <v>-2200</v>
      </c>
      <c r="M19" s="165">
        <f t="shared" ca="1" si="3"/>
        <v>-374</v>
      </c>
      <c r="N19" s="165">
        <f t="shared" ca="1" si="3"/>
        <v>-176</v>
      </c>
      <c r="O19" s="165">
        <f t="shared" ca="1" si="4"/>
        <v>-2750</v>
      </c>
      <c r="P19" s="385"/>
      <c r="Q19" s="385"/>
      <c r="R19" s="165">
        <f t="shared" si="10"/>
        <v>0</v>
      </c>
      <c r="S19" s="176"/>
      <c r="T19" s="176"/>
      <c r="U19" s="165">
        <f t="shared" si="5"/>
        <v>0</v>
      </c>
      <c r="V19" s="176"/>
      <c r="W19" s="176"/>
      <c r="X19" s="165">
        <f t="shared" si="6"/>
        <v>0</v>
      </c>
      <c r="Y19" s="176"/>
      <c r="Z19" s="176"/>
      <c r="AA19" s="165">
        <f t="shared" si="11"/>
        <v>0</v>
      </c>
      <c r="AB19" s="176"/>
      <c r="AC19" s="176"/>
      <c r="AD19" s="165">
        <f t="shared" si="7"/>
        <v>0</v>
      </c>
      <c r="AE19" s="176"/>
      <c r="AF19" s="165">
        <f t="shared" si="8"/>
        <v>0</v>
      </c>
      <c r="AG19" s="165">
        <f t="shared" ca="1" si="9"/>
        <v>-2750</v>
      </c>
      <c r="AH19" s="176"/>
      <c r="AI19" s="176"/>
      <c r="AJ19" s="168"/>
    </row>
    <row r="20" spans="1:36" x14ac:dyDescent="0.3">
      <c r="A20" s="206" t="str">
        <f t="shared" ca="1" si="12"/>
        <v/>
      </c>
      <c r="B20" s="165">
        <f>IF(control!A20="","",control!A20)</f>
        <v>12</v>
      </c>
      <c r="C20" s="165" t="str">
        <f>IF(control!C20="","",control!C20)</f>
        <v>Jun-20</v>
      </c>
      <c r="D20" s="165">
        <f ca="1">control!E20</f>
        <v>44300</v>
      </c>
      <c r="E20" s="165">
        <f ca="1">IFERROR(ROUND(D20*'DATA ENTRY'!F23,0),0)</f>
        <v>7531</v>
      </c>
      <c r="F20" s="165">
        <f ca="1">IFERROR(ROUND(D20*'DATA ENTRY'!G23,0),0)</f>
        <v>3544</v>
      </c>
      <c r="G20" s="165">
        <f t="shared" ca="1" si="1"/>
        <v>55375</v>
      </c>
      <c r="H20" s="165">
        <f>control!G20</f>
        <v>46500</v>
      </c>
      <c r="I20" s="165">
        <f>IFERROR(IF(MASTER!$I$14="Fix Pay",0,ROUND(H20*'DATA ENTRY'!L23,0)),0)</f>
        <v>7905</v>
      </c>
      <c r="J20" s="165">
        <f>IFERROR(IF(MASTER!$I$14="Fix Pay",0,ROUND(H20*'DATA ENTRY'!M23,0)),0)</f>
        <v>3720</v>
      </c>
      <c r="K20" s="165">
        <f t="shared" si="2"/>
        <v>58125</v>
      </c>
      <c r="L20" s="165">
        <f t="shared" ca="1" si="3"/>
        <v>-2200</v>
      </c>
      <c r="M20" s="165">
        <f t="shared" ca="1" si="3"/>
        <v>-374</v>
      </c>
      <c r="N20" s="165">
        <f t="shared" ca="1" si="3"/>
        <v>-176</v>
      </c>
      <c r="O20" s="165">
        <f t="shared" ca="1" si="4"/>
        <v>-2750</v>
      </c>
      <c r="P20" s="385"/>
      <c r="Q20" s="385"/>
      <c r="R20" s="165">
        <f t="shared" si="10"/>
        <v>0</v>
      </c>
      <c r="S20" s="176"/>
      <c r="T20" s="176"/>
      <c r="U20" s="165">
        <f t="shared" si="5"/>
        <v>0</v>
      </c>
      <c r="V20" s="176"/>
      <c r="W20" s="176"/>
      <c r="X20" s="165">
        <f t="shared" si="6"/>
        <v>0</v>
      </c>
      <c r="Y20" s="176"/>
      <c r="Z20" s="176"/>
      <c r="AA20" s="165">
        <f t="shared" si="11"/>
        <v>0</v>
      </c>
      <c r="AB20" s="176"/>
      <c r="AC20" s="176"/>
      <c r="AD20" s="165">
        <f t="shared" si="7"/>
        <v>0</v>
      </c>
      <c r="AE20" s="176"/>
      <c r="AF20" s="165">
        <f t="shared" si="8"/>
        <v>0</v>
      </c>
      <c r="AG20" s="165">
        <f t="shared" ca="1" si="9"/>
        <v>-2750</v>
      </c>
      <c r="AH20" s="176"/>
      <c r="AI20" s="176"/>
      <c r="AJ20" s="168"/>
    </row>
    <row r="21" spans="1:36" x14ac:dyDescent="0.3">
      <c r="A21" s="206" t="str">
        <f t="shared" ca="1" si="12"/>
        <v/>
      </c>
      <c r="B21" s="165">
        <f>IF(control!A21="","",control!A21)</f>
        <v>13</v>
      </c>
      <c r="C21" s="165" t="str">
        <f>IF(control!C21="","",control!C21)</f>
        <v>Jul-20</v>
      </c>
      <c r="D21" s="165">
        <f ca="1">control!E21</f>
        <v>45600</v>
      </c>
      <c r="E21" s="165">
        <f ca="1">IFERROR(ROUND(D21*'DATA ENTRY'!F24,0),0)</f>
        <v>7752</v>
      </c>
      <c r="F21" s="165">
        <f ca="1">IFERROR(ROUND(D21*'DATA ENTRY'!G24,0),0)</f>
        <v>3648</v>
      </c>
      <c r="G21" s="165">
        <f t="shared" ca="1" si="1"/>
        <v>57000</v>
      </c>
      <c r="H21" s="165">
        <f>control!G21</f>
        <v>47900</v>
      </c>
      <c r="I21" s="165">
        <f>IFERROR(IF(MASTER!$I$14="Fix Pay",0,ROUND(H21*'DATA ENTRY'!L24,0)),0)</f>
        <v>8143</v>
      </c>
      <c r="J21" s="165">
        <f>IFERROR(IF(MASTER!$I$14="Fix Pay",0,ROUND(H21*'DATA ENTRY'!M24,0)),0)</f>
        <v>3832</v>
      </c>
      <c r="K21" s="165">
        <f t="shared" si="2"/>
        <v>59875</v>
      </c>
      <c r="L21" s="165">
        <f t="shared" ca="1" si="3"/>
        <v>-2300</v>
      </c>
      <c r="M21" s="165">
        <f t="shared" ca="1" si="3"/>
        <v>-391</v>
      </c>
      <c r="N21" s="165">
        <f t="shared" ca="1" si="3"/>
        <v>-184</v>
      </c>
      <c r="O21" s="165">
        <f t="shared" ca="1" si="4"/>
        <v>-2875</v>
      </c>
      <c r="P21" s="385"/>
      <c r="Q21" s="385"/>
      <c r="R21" s="165">
        <f t="shared" si="10"/>
        <v>0</v>
      </c>
      <c r="S21" s="176"/>
      <c r="T21" s="176"/>
      <c r="U21" s="165">
        <f t="shared" si="5"/>
        <v>0</v>
      </c>
      <c r="V21" s="176"/>
      <c r="W21" s="176"/>
      <c r="X21" s="165">
        <f t="shared" si="6"/>
        <v>0</v>
      </c>
      <c r="Y21" s="176"/>
      <c r="Z21" s="176"/>
      <c r="AA21" s="165">
        <f t="shared" si="11"/>
        <v>0</v>
      </c>
      <c r="AB21" s="176"/>
      <c r="AC21" s="176"/>
      <c r="AD21" s="165">
        <f t="shared" si="7"/>
        <v>0</v>
      </c>
      <c r="AE21" s="176"/>
      <c r="AF21" s="165">
        <f t="shared" si="8"/>
        <v>0</v>
      </c>
      <c r="AG21" s="165">
        <f t="shared" ca="1" si="9"/>
        <v>-2875</v>
      </c>
      <c r="AH21" s="176"/>
      <c r="AI21" s="176"/>
      <c r="AJ21" s="168"/>
    </row>
    <row r="22" spans="1:36" x14ac:dyDescent="0.3">
      <c r="A22" s="206" t="str">
        <f t="shared" ca="1" si="12"/>
        <v/>
      </c>
      <c r="B22" s="165">
        <f>IF(control!A22="","",control!A22)</f>
        <v>14</v>
      </c>
      <c r="C22" s="165" t="str">
        <f>IF(control!C22="","",control!C22)</f>
        <v>Aug-20</v>
      </c>
      <c r="D22" s="165">
        <f ca="1">control!E22</f>
        <v>45600</v>
      </c>
      <c r="E22" s="165">
        <f ca="1">IFERROR(ROUND(D22*'DATA ENTRY'!F25,0),0)</f>
        <v>7752</v>
      </c>
      <c r="F22" s="165">
        <f ca="1">IFERROR(ROUND(D22*'DATA ENTRY'!G25,0),0)</f>
        <v>3648</v>
      </c>
      <c r="G22" s="165">
        <f t="shared" ca="1" si="1"/>
        <v>57000</v>
      </c>
      <c r="H22" s="165">
        <f>control!G22</f>
        <v>47900</v>
      </c>
      <c r="I22" s="165">
        <f>IFERROR(IF(MASTER!$I$14="Fix Pay",0,ROUND(H22*'DATA ENTRY'!L25,0)),0)</f>
        <v>8143</v>
      </c>
      <c r="J22" s="165">
        <f>IFERROR(IF(MASTER!$I$14="Fix Pay",0,ROUND(H22*'DATA ENTRY'!M25,0)),0)</f>
        <v>3832</v>
      </c>
      <c r="K22" s="165">
        <f t="shared" si="2"/>
        <v>59875</v>
      </c>
      <c r="L22" s="165">
        <f t="shared" ca="1" si="3"/>
        <v>-2300</v>
      </c>
      <c r="M22" s="165">
        <f t="shared" ca="1" si="3"/>
        <v>-391</v>
      </c>
      <c r="N22" s="165">
        <f t="shared" ca="1" si="3"/>
        <v>-184</v>
      </c>
      <c r="O22" s="165">
        <f t="shared" ca="1" si="4"/>
        <v>-2875</v>
      </c>
      <c r="P22" s="385"/>
      <c r="Q22" s="385"/>
      <c r="R22" s="165">
        <f t="shared" si="10"/>
        <v>0</v>
      </c>
      <c r="S22" s="176"/>
      <c r="T22" s="176"/>
      <c r="U22" s="165">
        <f t="shared" si="5"/>
        <v>0</v>
      </c>
      <c r="V22" s="176"/>
      <c r="W22" s="176"/>
      <c r="X22" s="165">
        <f t="shared" si="6"/>
        <v>0</v>
      </c>
      <c r="Y22" s="176"/>
      <c r="Z22" s="176"/>
      <c r="AA22" s="165">
        <f t="shared" si="11"/>
        <v>0</v>
      </c>
      <c r="AB22" s="176"/>
      <c r="AC22" s="176"/>
      <c r="AD22" s="165">
        <f t="shared" si="7"/>
        <v>0</v>
      </c>
      <c r="AE22" s="176"/>
      <c r="AF22" s="165">
        <f t="shared" si="8"/>
        <v>0</v>
      </c>
      <c r="AG22" s="165">
        <f t="shared" ca="1" si="9"/>
        <v>-2875</v>
      </c>
      <c r="AH22" s="176"/>
      <c r="AI22" s="176"/>
      <c r="AJ22" s="168"/>
    </row>
    <row r="23" spans="1:36" x14ac:dyDescent="0.3">
      <c r="A23" s="206" t="str">
        <f t="shared" ca="1" si="12"/>
        <v/>
      </c>
      <c r="B23" s="165">
        <f>IF(control!A23="","",control!A23)</f>
        <v>15</v>
      </c>
      <c r="C23" s="165" t="str">
        <f>IF(control!C23="","",control!C23)</f>
        <v>Sep-20</v>
      </c>
      <c r="D23" s="165">
        <f ca="1">control!E23</f>
        <v>45600</v>
      </c>
      <c r="E23" s="165">
        <f ca="1">IFERROR(ROUND(D23*'DATA ENTRY'!F26,0),0)</f>
        <v>7752</v>
      </c>
      <c r="F23" s="165">
        <f ca="1">IFERROR(ROUND(D23*'DATA ENTRY'!G26,0),0)</f>
        <v>3648</v>
      </c>
      <c r="G23" s="165">
        <f t="shared" ca="1" si="1"/>
        <v>57000</v>
      </c>
      <c r="H23" s="165">
        <f>control!G23</f>
        <v>47900</v>
      </c>
      <c r="I23" s="165">
        <f>IFERROR(IF(MASTER!$I$14="Fix Pay",0,ROUND(H23*'DATA ENTRY'!L26,0)),0)</f>
        <v>8143</v>
      </c>
      <c r="J23" s="165">
        <f>IFERROR(IF(MASTER!$I$14="Fix Pay",0,ROUND(H23*'DATA ENTRY'!M26,0)),0)</f>
        <v>3832</v>
      </c>
      <c r="K23" s="165">
        <f t="shared" si="2"/>
        <v>59875</v>
      </c>
      <c r="L23" s="165">
        <f t="shared" ca="1" si="3"/>
        <v>-2300</v>
      </c>
      <c r="M23" s="165">
        <f t="shared" ca="1" si="3"/>
        <v>-391</v>
      </c>
      <c r="N23" s="165">
        <f t="shared" ca="1" si="3"/>
        <v>-184</v>
      </c>
      <c r="O23" s="165">
        <f t="shared" ca="1" si="4"/>
        <v>-2875</v>
      </c>
      <c r="P23" s="385"/>
      <c r="Q23" s="385"/>
      <c r="R23" s="165">
        <f t="shared" si="10"/>
        <v>0</v>
      </c>
      <c r="S23" s="176"/>
      <c r="T23" s="176"/>
      <c r="U23" s="165">
        <f t="shared" si="5"/>
        <v>0</v>
      </c>
      <c r="V23" s="176"/>
      <c r="W23" s="176"/>
      <c r="X23" s="165">
        <f t="shared" si="6"/>
        <v>0</v>
      </c>
      <c r="Y23" s="176"/>
      <c r="Z23" s="176"/>
      <c r="AA23" s="165">
        <f t="shared" si="11"/>
        <v>0</v>
      </c>
      <c r="AB23" s="176"/>
      <c r="AC23" s="176"/>
      <c r="AD23" s="165">
        <f t="shared" si="7"/>
        <v>0</v>
      </c>
      <c r="AE23" s="176"/>
      <c r="AF23" s="165">
        <f t="shared" si="8"/>
        <v>0</v>
      </c>
      <c r="AG23" s="165">
        <f t="shared" ca="1" si="9"/>
        <v>-2875</v>
      </c>
      <c r="AH23" s="176"/>
      <c r="AI23" s="176"/>
      <c r="AJ23" s="168"/>
    </row>
    <row r="24" spans="1:36" x14ac:dyDescent="0.3">
      <c r="A24" s="206" t="str">
        <f t="shared" ca="1" si="12"/>
        <v/>
      </c>
      <c r="B24" s="165">
        <f>IF(control!A24="","",control!A24)</f>
        <v>16</v>
      </c>
      <c r="C24" s="165" t="str">
        <f>IF(control!C24="","",control!C24)</f>
        <v>Oct-20</v>
      </c>
      <c r="D24" s="165">
        <f ca="1">control!E24</f>
        <v>45600</v>
      </c>
      <c r="E24" s="165">
        <f ca="1">IFERROR(ROUND(D24*'DATA ENTRY'!F27,0),0)</f>
        <v>7752</v>
      </c>
      <c r="F24" s="165">
        <f ca="1">IFERROR(ROUND(D24*'DATA ENTRY'!G27,0),0)</f>
        <v>3648</v>
      </c>
      <c r="G24" s="165">
        <f t="shared" ca="1" si="1"/>
        <v>57000</v>
      </c>
      <c r="H24" s="165">
        <f>control!G24</f>
        <v>47900</v>
      </c>
      <c r="I24" s="165">
        <f>IFERROR(IF(MASTER!$I$14="Fix Pay",0,ROUND(H24*'DATA ENTRY'!L27,0)),0)</f>
        <v>8143</v>
      </c>
      <c r="J24" s="165">
        <f>IFERROR(IF(MASTER!$I$14="Fix Pay",0,ROUND(H24*'DATA ENTRY'!M27,0)),0)</f>
        <v>3832</v>
      </c>
      <c r="K24" s="165">
        <f t="shared" si="2"/>
        <v>59875</v>
      </c>
      <c r="L24" s="165">
        <f t="shared" ca="1" si="3"/>
        <v>-2300</v>
      </c>
      <c r="M24" s="165">
        <f t="shared" ca="1" si="3"/>
        <v>-391</v>
      </c>
      <c r="N24" s="165">
        <f t="shared" ca="1" si="3"/>
        <v>-184</v>
      </c>
      <c r="O24" s="165">
        <f t="shared" ca="1" si="4"/>
        <v>-2875</v>
      </c>
      <c r="P24" s="385"/>
      <c r="Q24" s="385"/>
      <c r="R24" s="165">
        <f t="shared" si="10"/>
        <v>0</v>
      </c>
      <c r="S24" s="176"/>
      <c r="T24" s="176"/>
      <c r="U24" s="165">
        <f t="shared" si="5"/>
        <v>0</v>
      </c>
      <c r="V24" s="176"/>
      <c r="W24" s="176"/>
      <c r="X24" s="165">
        <f t="shared" si="6"/>
        <v>0</v>
      </c>
      <c r="Y24" s="176"/>
      <c r="Z24" s="176"/>
      <c r="AA24" s="165">
        <f t="shared" si="11"/>
        <v>0</v>
      </c>
      <c r="AB24" s="176"/>
      <c r="AC24" s="176"/>
      <c r="AD24" s="165">
        <f t="shared" si="7"/>
        <v>0</v>
      </c>
      <c r="AE24" s="176"/>
      <c r="AF24" s="165">
        <f t="shared" si="8"/>
        <v>0</v>
      </c>
      <c r="AG24" s="165">
        <f t="shared" ca="1" si="9"/>
        <v>-2875</v>
      </c>
      <c r="AH24" s="176"/>
      <c r="AI24" s="176"/>
      <c r="AJ24" s="168"/>
    </row>
    <row r="25" spans="1:36" x14ac:dyDescent="0.3">
      <c r="A25" s="206" t="str">
        <f t="shared" ca="1" si="12"/>
        <v/>
      </c>
      <c r="B25" s="165">
        <f>IF(control!A25="","",control!A25)</f>
        <v>17</v>
      </c>
      <c r="C25" s="165" t="str">
        <f>IF(control!C25="","",control!C25)</f>
        <v>Nov-20</v>
      </c>
      <c r="D25" s="165">
        <f ca="1">control!E25</f>
        <v>45600</v>
      </c>
      <c r="E25" s="165">
        <f ca="1">IFERROR(ROUND(D25*'DATA ENTRY'!F28,0),0)</f>
        <v>7752</v>
      </c>
      <c r="F25" s="165">
        <f ca="1">IFERROR(ROUND(D25*'DATA ENTRY'!G28,0),0)</f>
        <v>3648</v>
      </c>
      <c r="G25" s="165">
        <f t="shared" ca="1" si="1"/>
        <v>57000</v>
      </c>
      <c r="H25" s="165">
        <f>control!G25</f>
        <v>47900</v>
      </c>
      <c r="I25" s="165">
        <f>IFERROR(IF(MASTER!$I$14="Fix Pay",0,ROUND(H25*'DATA ENTRY'!L28,0)),0)</f>
        <v>8143</v>
      </c>
      <c r="J25" s="165">
        <f>IFERROR(IF(MASTER!$I$14="Fix Pay",0,ROUND(H25*'DATA ENTRY'!M28,0)),0)</f>
        <v>3832</v>
      </c>
      <c r="K25" s="165">
        <f t="shared" si="2"/>
        <v>59875</v>
      </c>
      <c r="L25" s="165">
        <f t="shared" ca="1" si="3"/>
        <v>-2300</v>
      </c>
      <c r="M25" s="165">
        <f t="shared" ca="1" si="3"/>
        <v>-391</v>
      </c>
      <c r="N25" s="165">
        <f t="shared" ca="1" si="3"/>
        <v>-184</v>
      </c>
      <c r="O25" s="165">
        <f t="shared" ca="1" si="4"/>
        <v>-2875</v>
      </c>
      <c r="P25" s="385"/>
      <c r="Q25" s="385"/>
      <c r="R25" s="165">
        <f t="shared" si="10"/>
        <v>0</v>
      </c>
      <c r="S25" s="176"/>
      <c r="T25" s="176"/>
      <c r="U25" s="165">
        <f t="shared" si="5"/>
        <v>0</v>
      </c>
      <c r="V25" s="176"/>
      <c r="W25" s="176"/>
      <c r="X25" s="165">
        <f t="shared" si="6"/>
        <v>0</v>
      </c>
      <c r="Y25" s="176"/>
      <c r="Z25" s="176"/>
      <c r="AA25" s="165">
        <f t="shared" si="11"/>
        <v>0</v>
      </c>
      <c r="AB25" s="176"/>
      <c r="AC25" s="176"/>
      <c r="AD25" s="165">
        <f t="shared" si="7"/>
        <v>0</v>
      </c>
      <c r="AE25" s="176"/>
      <c r="AF25" s="165">
        <f t="shared" si="8"/>
        <v>0</v>
      </c>
      <c r="AG25" s="165">
        <f t="shared" ca="1" si="9"/>
        <v>-2875</v>
      </c>
      <c r="AH25" s="176"/>
      <c r="AI25" s="176"/>
      <c r="AJ25" s="168"/>
    </row>
    <row r="26" spans="1:36" x14ac:dyDescent="0.3">
      <c r="A26" s="206" t="str">
        <f t="shared" ca="1" si="12"/>
        <v/>
      </c>
      <c r="B26" s="165">
        <f>IF(control!A26="","",control!A26)</f>
        <v>18</v>
      </c>
      <c r="C26" s="165" t="str">
        <f>IF(control!C26="","",control!C26)</f>
        <v>Dec-20</v>
      </c>
      <c r="D26" s="165">
        <f ca="1">control!E26</f>
        <v>45600</v>
      </c>
      <c r="E26" s="165">
        <f ca="1">IFERROR(ROUND(D26*'DATA ENTRY'!F29,0),0)</f>
        <v>7752</v>
      </c>
      <c r="F26" s="165">
        <f ca="1">IFERROR(ROUND(D26*'DATA ENTRY'!G29,0),0)</f>
        <v>3648</v>
      </c>
      <c r="G26" s="165">
        <f t="shared" ca="1" si="1"/>
        <v>57000</v>
      </c>
      <c r="H26" s="165">
        <f>control!G26</f>
        <v>47900</v>
      </c>
      <c r="I26" s="165">
        <f>IFERROR(IF(MASTER!$I$14="Fix Pay",0,ROUND(H26*'DATA ENTRY'!L29,0)),0)</f>
        <v>8143</v>
      </c>
      <c r="J26" s="165">
        <f>IFERROR(IF(MASTER!$I$14="Fix Pay",0,ROUND(H26*'DATA ENTRY'!M29,0)),0)</f>
        <v>3832</v>
      </c>
      <c r="K26" s="165">
        <f t="shared" si="2"/>
        <v>59875</v>
      </c>
      <c r="L26" s="165">
        <f t="shared" ca="1" si="3"/>
        <v>-2300</v>
      </c>
      <c r="M26" s="165">
        <f t="shared" ca="1" si="3"/>
        <v>-391</v>
      </c>
      <c r="N26" s="165">
        <f t="shared" ca="1" si="3"/>
        <v>-184</v>
      </c>
      <c r="O26" s="165">
        <f t="shared" ca="1" si="4"/>
        <v>-2875</v>
      </c>
      <c r="P26" s="385"/>
      <c r="Q26" s="385"/>
      <c r="R26" s="165">
        <f t="shared" si="10"/>
        <v>0</v>
      </c>
      <c r="S26" s="176"/>
      <c r="T26" s="176"/>
      <c r="U26" s="165">
        <f t="shared" si="5"/>
        <v>0</v>
      </c>
      <c r="V26" s="176"/>
      <c r="W26" s="176"/>
      <c r="X26" s="165">
        <f t="shared" si="6"/>
        <v>0</v>
      </c>
      <c r="Y26" s="176"/>
      <c r="Z26" s="176"/>
      <c r="AA26" s="165">
        <f t="shared" si="11"/>
        <v>0</v>
      </c>
      <c r="AB26" s="176"/>
      <c r="AC26" s="176"/>
      <c r="AD26" s="165">
        <f t="shared" si="7"/>
        <v>0</v>
      </c>
      <c r="AE26" s="176"/>
      <c r="AF26" s="165">
        <f t="shared" si="8"/>
        <v>0</v>
      </c>
      <c r="AG26" s="165">
        <f t="shared" ca="1" si="9"/>
        <v>-2875</v>
      </c>
      <c r="AH26" s="176"/>
      <c r="AI26" s="176"/>
      <c r="AJ26" s="168"/>
    </row>
    <row r="27" spans="1:36" x14ac:dyDescent="0.3">
      <c r="A27" s="206" t="str">
        <f t="shared" ca="1" si="12"/>
        <v/>
      </c>
      <c r="B27" s="165">
        <f>IF(control!A27="","",control!A27)</f>
        <v>19</v>
      </c>
      <c r="C27" s="165" t="str">
        <f>IF(control!C27="","",control!C27)</f>
        <v>Jan-21</v>
      </c>
      <c r="D27" s="165">
        <f ca="1">control!E27</f>
        <v>45600</v>
      </c>
      <c r="E27" s="165">
        <f ca="1">IFERROR(ROUND(D27*'DATA ENTRY'!F30,0),0)</f>
        <v>7752</v>
      </c>
      <c r="F27" s="165">
        <f ca="1">IFERROR(ROUND(D27*'DATA ENTRY'!G30,0),0)</f>
        <v>3648</v>
      </c>
      <c r="G27" s="165">
        <f t="shared" ca="1" si="1"/>
        <v>57000</v>
      </c>
      <c r="H27" s="165">
        <f>control!G27</f>
        <v>47900</v>
      </c>
      <c r="I27" s="165">
        <f>IFERROR(IF(MASTER!$I$14="Fix Pay",0,ROUND(H27*'DATA ENTRY'!L30,0)),0)</f>
        <v>8143</v>
      </c>
      <c r="J27" s="165">
        <f>IFERROR(IF(MASTER!$I$14="Fix Pay",0,ROUND(H27*'DATA ENTRY'!M30,0)),0)</f>
        <v>3832</v>
      </c>
      <c r="K27" s="165">
        <f t="shared" si="2"/>
        <v>59875</v>
      </c>
      <c r="L27" s="165">
        <f t="shared" ca="1" si="3"/>
        <v>-2300</v>
      </c>
      <c r="M27" s="165">
        <f t="shared" ca="1" si="3"/>
        <v>-391</v>
      </c>
      <c r="N27" s="165">
        <f t="shared" ca="1" si="3"/>
        <v>-184</v>
      </c>
      <c r="O27" s="165">
        <f t="shared" ca="1" si="4"/>
        <v>-2875</v>
      </c>
      <c r="P27" s="385"/>
      <c r="Q27" s="385"/>
      <c r="R27" s="165">
        <f t="shared" si="10"/>
        <v>0</v>
      </c>
      <c r="S27" s="176"/>
      <c r="T27" s="176"/>
      <c r="U27" s="165">
        <f t="shared" si="5"/>
        <v>0</v>
      </c>
      <c r="V27" s="176"/>
      <c r="W27" s="176"/>
      <c r="X27" s="165">
        <f t="shared" si="6"/>
        <v>0</v>
      </c>
      <c r="Y27" s="176"/>
      <c r="Z27" s="176"/>
      <c r="AA27" s="165">
        <f t="shared" si="11"/>
        <v>0</v>
      </c>
      <c r="AB27" s="176"/>
      <c r="AC27" s="176"/>
      <c r="AD27" s="165">
        <f t="shared" si="7"/>
        <v>0</v>
      </c>
      <c r="AE27" s="176"/>
      <c r="AF27" s="165">
        <f t="shared" si="8"/>
        <v>0</v>
      </c>
      <c r="AG27" s="165">
        <f t="shared" ca="1" si="9"/>
        <v>-2875</v>
      </c>
      <c r="AH27" s="176"/>
      <c r="AI27" s="176"/>
      <c r="AJ27" s="168"/>
    </row>
    <row r="28" spans="1:36" x14ac:dyDescent="0.3">
      <c r="A28" s="206" t="str">
        <f t="shared" ca="1" si="12"/>
        <v/>
      </c>
      <c r="B28" s="165">
        <f>IF(control!A28="","",control!A28)</f>
        <v>20</v>
      </c>
      <c r="C28" s="165" t="str">
        <f>IF(control!C28="","",control!C28)</f>
        <v>Feb-21</v>
      </c>
      <c r="D28" s="165">
        <f ca="1">control!E28</f>
        <v>45600</v>
      </c>
      <c r="E28" s="165">
        <f ca="1">IFERROR(ROUND(D28*'DATA ENTRY'!F31,0),0)</f>
        <v>7752</v>
      </c>
      <c r="F28" s="165">
        <f ca="1">IFERROR(ROUND(D28*'DATA ENTRY'!G31,0),0)</f>
        <v>3648</v>
      </c>
      <c r="G28" s="165">
        <f t="shared" ca="1" si="1"/>
        <v>57000</v>
      </c>
      <c r="H28" s="165">
        <f>control!G28</f>
        <v>47900</v>
      </c>
      <c r="I28" s="165">
        <f>IFERROR(IF(MASTER!$I$14="Fix Pay",0,ROUND(H28*'DATA ENTRY'!L31,0)),0)</f>
        <v>8143</v>
      </c>
      <c r="J28" s="165">
        <f>IFERROR(IF(MASTER!$I$14="Fix Pay",0,ROUND(H28*'DATA ENTRY'!M31,0)),0)</f>
        <v>3832</v>
      </c>
      <c r="K28" s="165">
        <f t="shared" si="2"/>
        <v>59875</v>
      </c>
      <c r="L28" s="165">
        <f t="shared" ca="1" si="3"/>
        <v>-2300</v>
      </c>
      <c r="M28" s="165">
        <f t="shared" ca="1" si="3"/>
        <v>-391</v>
      </c>
      <c r="N28" s="165">
        <f t="shared" ca="1" si="3"/>
        <v>-184</v>
      </c>
      <c r="O28" s="165">
        <f t="shared" ca="1" si="4"/>
        <v>-2875</v>
      </c>
      <c r="P28" s="385"/>
      <c r="Q28" s="385"/>
      <c r="R28" s="165">
        <f t="shared" si="10"/>
        <v>0</v>
      </c>
      <c r="S28" s="176"/>
      <c r="T28" s="176"/>
      <c r="U28" s="165">
        <f t="shared" si="5"/>
        <v>0</v>
      </c>
      <c r="V28" s="176"/>
      <c r="W28" s="176"/>
      <c r="X28" s="165">
        <f t="shared" si="6"/>
        <v>0</v>
      </c>
      <c r="Y28" s="176"/>
      <c r="Z28" s="176"/>
      <c r="AA28" s="165">
        <f t="shared" si="11"/>
        <v>0</v>
      </c>
      <c r="AB28" s="176"/>
      <c r="AC28" s="176"/>
      <c r="AD28" s="165">
        <f t="shared" si="7"/>
        <v>0</v>
      </c>
      <c r="AE28" s="176"/>
      <c r="AF28" s="165">
        <f t="shared" si="8"/>
        <v>0</v>
      </c>
      <c r="AG28" s="165">
        <f t="shared" ca="1" si="9"/>
        <v>-2875</v>
      </c>
      <c r="AH28" s="176"/>
      <c r="AI28" s="176"/>
      <c r="AJ28" s="168"/>
    </row>
    <row r="29" spans="1:36" x14ac:dyDescent="0.3">
      <c r="A29" s="206" t="str">
        <f t="shared" ca="1" si="12"/>
        <v/>
      </c>
      <c r="B29" s="165">
        <f>IF(control!A29="","",control!A29)</f>
        <v>21</v>
      </c>
      <c r="C29" s="165" t="str">
        <f>IF(control!C29="","",control!C29)</f>
        <v>Mar-21</v>
      </c>
      <c r="D29" s="165">
        <f ca="1">control!E29</f>
        <v>45600</v>
      </c>
      <c r="E29" s="165">
        <f ca="1">IFERROR(ROUND(D29*'DATA ENTRY'!F32,0),0)</f>
        <v>7752</v>
      </c>
      <c r="F29" s="165">
        <f ca="1">IFERROR(ROUND(D29*'DATA ENTRY'!G32,0),0)</f>
        <v>3648</v>
      </c>
      <c r="G29" s="165">
        <f t="shared" ca="1" si="1"/>
        <v>57000</v>
      </c>
      <c r="H29" s="165">
        <f>control!G29</f>
        <v>47900</v>
      </c>
      <c r="I29" s="165">
        <f>IFERROR(IF(MASTER!$I$14="Fix Pay",0,ROUND(H29*'DATA ENTRY'!L32,0)),0)</f>
        <v>8143</v>
      </c>
      <c r="J29" s="165">
        <f>IFERROR(IF(MASTER!$I$14="Fix Pay",0,ROUND(H29*'DATA ENTRY'!M32,0)),0)</f>
        <v>3832</v>
      </c>
      <c r="K29" s="165">
        <f t="shared" si="2"/>
        <v>59875</v>
      </c>
      <c r="L29" s="165">
        <f t="shared" ca="1" si="3"/>
        <v>-2300</v>
      </c>
      <c r="M29" s="165">
        <f t="shared" ca="1" si="3"/>
        <v>-391</v>
      </c>
      <c r="N29" s="165">
        <f t="shared" ca="1" si="3"/>
        <v>-184</v>
      </c>
      <c r="O29" s="165">
        <f t="shared" ca="1" si="4"/>
        <v>-2875</v>
      </c>
      <c r="P29" s="385"/>
      <c r="Q29" s="385"/>
      <c r="R29" s="165">
        <f t="shared" si="10"/>
        <v>0</v>
      </c>
      <c r="S29" s="176"/>
      <c r="T29" s="176"/>
      <c r="U29" s="165">
        <f t="shared" si="5"/>
        <v>0</v>
      </c>
      <c r="V29" s="176"/>
      <c r="W29" s="176"/>
      <c r="X29" s="165">
        <f t="shared" si="6"/>
        <v>0</v>
      </c>
      <c r="Y29" s="176"/>
      <c r="Z29" s="176"/>
      <c r="AA29" s="165">
        <f t="shared" si="11"/>
        <v>0</v>
      </c>
      <c r="AB29" s="176"/>
      <c r="AC29" s="176"/>
      <c r="AD29" s="165">
        <f t="shared" si="7"/>
        <v>0</v>
      </c>
      <c r="AE29" s="176"/>
      <c r="AF29" s="165">
        <f t="shared" si="8"/>
        <v>0</v>
      </c>
      <c r="AG29" s="165">
        <f t="shared" ca="1" si="9"/>
        <v>-2875</v>
      </c>
      <c r="AH29" s="176"/>
      <c r="AI29" s="176"/>
      <c r="AJ29" s="168"/>
    </row>
    <row r="30" spans="1:36" x14ac:dyDescent="0.3">
      <c r="A30" s="206" t="str">
        <f t="shared" ca="1" si="12"/>
        <v/>
      </c>
      <c r="B30" s="165">
        <f>IF(control!A30="","",control!A30)</f>
        <v>22</v>
      </c>
      <c r="C30" s="165" t="str">
        <f>IF(control!C30="","",control!C30)</f>
        <v>Apr-21</v>
      </c>
      <c r="D30" s="165">
        <f ca="1">control!E30</f>
        <v>45600</v>
      </c>
      <c r="E30" s="165">
        <f ca="1">IFERROR(ROUND(D30*'DATA ENTRY'!F33,0),0)</f>
        <v>7752</v>
      </c>
      <c r="F30" s="165">
        <f ca="1">IFERROR(ROUND(D30*'DATA ENTRY'!G33,0),0)</f>
        <v>3648</v>
      </c>
      <c r="G30" s="165">
        <f t="shared" ca="1" si="1"/>
        <v>57000</v>
      </c>
      <c r="H30" s="165">
        <f>control!G30</f>
        <v>47900</v>
      </c>
      <c r="I30" s="165">
        <f>IFERROR(IF(MASTER!$I$14="Fix Pay",0,ROUND(H30*'DATA ENTRY'!L33,0)),0)</f>
        <v>8143</v>
      </c>
      <c r="J30" s="165">
        <f>IFERROR(IF(MASTER!$I$14="Fix Pay",0,ROUND(H30*'DATA ENTRY'!M33,0)),0)</f>
        <v>3832</v>
      </c>
      <c r="K30" s="165">
        <f t="shared" si="2"/>
        <v>59875</v>
      </c>
      <c r="L30" s="165">
        <f t="shared" ca="1" si="3"/>
        <v>-2300</v>
      </c>
      <c r="M30" s="165">
        <f t="shared" ca="1" si="3"/>
        <v>-391</v>
      </c>
      <c r="N30" s="165">
        <f t="shared" ca="1" si="3"/>
        <v>-184</v>
      </c>
      <c r="O30" s="165">
        <f t="shared" ca="1" si="4"/>
        <v>-2875</v>
      </c>
      <c r="P30" s="385"/>
      <c r="Q30" s="385"/>
      <c r="R30" s="165">
        <f t="shared" si="10"/>
        <v>0</v>
      </c>
      <c r="S30" s="176"/>
      <c r="T30" s="176"/>
      <c r="U30" s="165">
        <f t="shared" si="5"/>
        <v>0</v>
      </c>
      <c r="V30" s="176"/>
      <c r="W30" s="176"/>
      <c r="X30" s="165">
        <f t="shared" si="6"/>
        <v>0</v>
      </c>
      <c r="Y30" s="176"/>
      <c r="Z30" s="176"/>
      <c r="AA30" s="165">
        <f t="shared" si="11"/>
        <v>0</v>
      </c>
      <c r="AB30" s="176"/>
      <c r="AC30" s="176"/>
      <c r="AD30" s="165">
        <f t="shared" si="7"/>
        <v>0</v>
      </c>
      <c r="AE30" s="176"/>
      <c r="AF30" s="165">
        <f t="shared" si="8"/>
        <v>0</v>
      </c>
      <c r="AG30" s="165">
        <f t="shared" ca="1" si="9"/>
        <v>-2875</v>
      </c>
      <c r="AH30" s="176"/>
      <c r="AI30" s="176"/>
      <c r="AJ30" s="168"/>
    </row>
    <row r="31" spans="1:36" x14ac:dyDescent="0.3">
      <c r="A31" s="206" t="str">
        <f t="shared" ca="1" si="12"/>
        <v/>
      </c>
      <c r="B31" s="165">
        <f>IF(control!A31="","",control!A31)</f>
        <v>23</v>
      </c>
      <c r="C31" s="165" t="str">
        <f>IF(control!C31="","",control!C31)</f>
        <v>May-21</v>
      </c>
      <c r="D31" s="165">
        <f ca="1">control!E31</f>
        <v>45600</v>
      </c>
      <c r="E31" s="165">
        <f ca="1">IFERROR(ROUND(D31*'DATA ENTRY'!F34,0),0)</f>
        <v>7752</v>
      </c>
      <c r="F31" s="165">
        <f ca="1">IFERROR(ROUND(D31*'DATA ENTRY'!G34,0),0)</f>
        <v>3648</v>
      </c>
      <c r="G31" s="165">
        <f t="shared" ca="1" si="1"/>
        <v>57000</v>
      </c>
      <c r="H31" s="165">
        <f>control!G31</f>
        <v>47900</v>
      </c>
      <c r="I31" s="165">
        <f>IFERROR(IF(MASTER!$I$14="Fix Pay",0,ROUND(H31*'DATA ENTRY'!L34,0)),0)</f>
        <v>8143</v>
      </c>
      <c r="J31" s="165">
        <f>IFERROR(IF(MASTER!$I$14="Fix Pay",0,ROUND(H31*'DATA ENTRY'!M34,0)),0)</f>
        <v>3832</v>
      </c>
      <c r="K31" s="165">
        <f t="shared" si="2"/>
        <v>59875</v>
      </c>
      <c r="L31" s="165">
        <f t="shared" ca="1" si="3"/>
        <v>-2300</v>
      </c>
      <c r="M31" s="165">
        <f t="shared" ca="1" si="3"/>
        <v>-391</v>
      </c>
      <c r="N31" s="165">
        <f t="shared" ca="1" si="3"/>
        <v>-184</v>
      </c>
      <c r="O31" s="165">
        <f t="shared" ca="1" si="4"/>
        <v>-2875</v>
      </c>
      <c r="P31" s="385"/>
      <c r="Q31" s="385"/>
      <c r="R31" s="165">
        <f t="shared" si="10"/>
        <v>0</v>
      </c>
      <c r="S31" s="176"/>
      <c r="T31" s="176"/>
      <c r="U31" s="165">
        <f t="shared" si="5"/>
        <v>0</v>
      </c>
      <c r="V31" s="176"/>
      <c r="W31" s="176"/>
      <c r="X31" s="165">
        <f t="shared" si="6"/>
        <v>0</v>
      </c>
      <c r="Y31" s="176"/>
      <c r="Z31" s="176"/>
      <c r="AA31" s="165">
        <f t="shared" si="11"/>
        <v>0</v>
      </c>
      <c r="AB31" s="176"/>
      <c r="AC31" s="176"/>
      <c r="AD31" s="165">
        <f t="shared" si="7"/>
        <v>0</v>
      </c>
      <c r="AE31" s="176"/>
      <c r="AF31" s="165">
        <f t="shared" si="8"/>
        <v>0</v>
      </c>
      <c r="AG31" s="165">
        <f t="shared" ca="1" si="9"/>
        <v>-2875</v>
      </c>
      <c r="AH31" s="176"/>
      <c r="AI31" s="176"/>
      <c r="AJ31" s="168"/>
    </row>
    <row r="32" spans="1:36" x14ac:dyDescent="0.3">
      <c r="A32" s="206" t="str">
        <f t="shared" ca="1" si="12"/>
        <v/>
      </c>
      <c r="B32" s="165">
        <f>IF(control!A32="","",control!A32)</f>
        <v>24</v>
      </c>
      <c r="C32" s="165" t="str">
        <f>IF(control!C32="","",control!C32)</f>
        <v>Jun-21</v>
      </c>
      <c r="D32" s="165">
        <f ca="1">control!E32</f>
        <v>45600</v>
      </c>
      <c r="E32" s="165">
        <f ca="1">IFERROR(ROUND(D32*'DATA ENTRY'!F35,0),0)</f>
        <v>7752</v>
      </c>
      <c r="F32" s="165">
        <f ca="1">IFERROR(ROUND(D32*'DATA ENTRY'!G35,0),0)</f>
        <v>3648</v>
      </c>
      <c r="G32" s="166">
        <f t="shared" ca="1" si="1"/>
        <v>57000</v>
      </c>
      <c r="H32" s="165">
        <f>control!G32</f>
        <v>47900</v>
      </c>
      <c r="I32" s="165">
        <f>IFERROR(IF(MASTER!$I$14="Fix Pay",0,ROUND(H32*'DATA ENTRY'!L35,0)),0)</f>
        <v>8143</v>
      </c>
      <c r="J32" s="165">
        <f>IFERROR(IF(MASTER!$I$14="Fix Pay",0,ROUND(H32*'DATA ENTRY'!M35,0)),0)</f>
        <v>3832</v>
      </c>
      <c r="K32" s="166">
        <f t="shared" si="2"/>
        <v>59875</v>
      </c>
      <c r="L32" s="166">
        <f t="shared" ca="1" si="3"/>
        <v>-2300</v>
      </c>
      <c r="M32" s="166">
        <f t="shared" ca="1" si="3"/>
        <v>-391</v>
      </c>
      <c r="N32" s="166">
        <f t="shared" ca="1" si="3"/>
        <v>-184</v>
      </c>
      <c r="O32" s="166">
        <f t="shared" ca="1" si="4"/>
        <v>-2875</v>
      </c>
      <c r="P32" s="385"/>
      <c r="Q32" s="385"/>
      <c r="R32" s="166">
        <f t="shared" si="10"/>
        <v>0</v>
      </c>
      <c r="S32" s="177"/>
      <c r="T32" s="177"/>
      <c r="U32" s="166">
        <f t="shared" si="5"/>
        <v>0</v>
      </c>
      <c r="V32" s="177"/>
      <c r="W32" s="177"/>
      <c r="X32" s="166">
        <f t="shared" si="6"/>
        <v>0</v>
      </c>
      <c r="Y32" s="177"/>
      <c r="Z32" s="177"/>
      <c r="AA32" s="166">
        <f t="shared" si="11"/>
        <v>0</v>
      </c>
      <c r="AB32" s="177"/>
      <c r="AC32" s="177"/>
      <c r="AD32" s="166">
        <f t="shared" si="7"/>
        <v>0</v>
      </c>
      <c r="AE32" s="177"/>
      <c r="AF32" s="165">
        <f t="shared" si="8"/>
        <v>0</v>
      </c>
      <c r="AG32" s="165">
        <f t="shared" ca="1" si="9"/>
        <v>-2875</v>
      </c>
      <c r="AH32" s="177"/>
      <c r="AI32" s="177"/>
      <c r="AJ32" s="168"/>
    </row>
    <row r="33" spans="1:36" x14ac:dyDescent="0.3">
      <c r="A33" s="206" t="str">
        <f t="shared" ca="1" si="12"/>
        <v/>
      </c>
      <c r="B33" s="165">
        <f>IF(control!A33="","",control!A33)</f>
        <v>25</v>
      </c>
      <c r="C33" s="165" t="str">
        <f>IF(control!C33="","",control!C33)</f>
        <v>Jul-21</v>
      </c>
      <c r="D33" s="165">
        <f ca="1">control!E33</f>
        <v>47000</v>
      </c>
      <c r="E33" s="165">
        <f ca="1">IFERROR(ROUND(D33*'DATA ENTRY'!F36,0),0)</f>
        <v>7990</v>
      </c>
      <c r="F33" s="165">
        <f ca="1">IFERROR(ROUND(D33*'DATA ENTRY'!G36,0),0)</f>
        <v>3760</v>
      </c>
      <c r="G33" s="166">
        <f t="shared" ref="G33:G43" ca="1" si="13">IFERROR(D33+E33+F33,0)</f>
        <v>58750</v>
      </c>
      <c r="H33" s="165">
        <f>control!G33</f>
        <v>49300</v>
      </c>
      <c r="I33" s="165">
        <f>IFERROR(IF(MASTER!$I$14="Fix Pay",0,ROUND(H33*'DATA ENTRY'!L36,0)),0)</f>
        <v>8381</v>
      </c>
      <c r="J33" s="165">
        <f>IFERROR(IF(MASTER!$I$14="Fix Pay",0,ROUND(H33*'DATA ENTRY'!M36,0)),0)</f>
        <v>3944</v>
      </c>
      <c r="K33" s="166">
        <f t="shared" ref="K33:K43" si="14">IFERROR(H33+I33+J33,0)</f>
        <v>61625</v>
      </c>
      <c r="L33" s="166">
        <f t="shared" ref="L33:L43" ca="1" si="15">IFERROR(D33-H33,0)</f>
        <v>-2300</v>
      </c>
      <c r="M33" s="166">
        <f t="shared" ref="M33:M43" ca="1" si="16">IFERROR(E33-I33,0)</f>
        <v>-391</v>
      </c>
      <c r="N33" s="166">
        <f t="shared" ref="N33:N43" ca="1" si="17">IFERROR(F33-J33,0)</f>
        <v>-184</v>
      </c>
      <c r="O33" s="166">
        <f t="shared" ref="O33:O43" ca="1" si="18">IFERROR(L33+M33+N33,0)</f>
        <v>-2875</v>
      </c>
      <c r="P33" s="385"/>
      <c r="Q33" s="385"/>
      <c r="R33" s="166">
        <f t="shared" ref="R33:R43" si="19">IFERROR(P33-Q33,0)</f>
        <v>0</v>
      </c>
      <c r="S33" s="177"/>
      <c r="T33" s="177"/>
      <c r="U33" s="166">
        <f t="shared" ref="U33:U43" si="20">IFERROR(S33-T33,0)</f>
        <v>0</v>
      </c>
      <c r="V33" s="177"/>
      <c r="W33" s="177"/>
      <c r="X33" s="166">
        <f t="shared" ref="X33:X43" si="21">IFERROR(V33-W33,0)</f>
        <v>0</v>
      </c>
      <c r="Y33" s="177"/>
      <c r="Z33" s="177"/>
      <c r="AA33" s="166">
        <f t="shared" ref="AA33:AA43" si="22">IFERROR(Y33-Z33,0)</f>
        <v>0</v>
      </c>
      <c r="AB33" s="177"/>
      <c r="AC33" s="177"/>
      <c r="AD33" s="166">
        <f t="shared" ref="AD33:AD43" si="23">IFERROR(AB33-AC33,0)</f>
        <v>0</v>
      </c>
      <c r="AE33" s="177"/>
      <c r="AF33" s="165">
        <f t="shared" si="8"/>
        <v>0</v>
      </c>
      <c r="AG33" s="165">
        <f t="shared" ref="AG33:AG43" ca="1" si="24">O33-AF33</f>
        <v>-2875</v>
      </c>
      <c r="AH33" s="177"/>
      <c r="AI33" s="177"/>
      <c r="AJ33" s="168"/>
    </row>
    <row r="34" spans="1:36" x14ac:dyDescent="0.3">
      <c r="A34" s="206" t="str">
        <f t="shared" ca="1" si="12"/>
        <v/>
      </c>
      <c r="B34" s="165">
        <f>IF(control!A34="","",control!A34)</f>
        <v>26</v>
      </c>
      <c r="C34" s="165" t="str">
        <f>IF(control!C34="","",control!C34)</f>
        <v>Aug-21</v>
      </c>
      <c r="D34" s="165">
        <f ca="1">control!E34</f>
        <v>47000</v>
      </c>
      <c r="E34" s="165">
        <f ca="1">IFERROR(ROUND(D34*'DATA ENTRY'!F37,0),0)</f>
        <v>7990</v>
      </c>
      <c r="F34" s="165">
        <f ca="1">IFERROR(ROUND(D34*'DATA ENTRY'!G37,0),0)</f>
        <v>3760</v>
      </c>
      <c r="G34" s="166">
        <f t="shared" ca="1" si="13"/>
        <v>58750</v>
      </c>
      <c r="H34" s="165">
        <f>control!G34</f>
        <v>49300</v>
      </c>
      <c r="I34" s="165">
        <f>IFERROR(IF(MASTER!$I$14="Fix Pay",0,ROUND(H34*'DATA ENTRY'!L37,0)),0)</f>
        <v>8381</v>
      </c>
      <c r="J34" s="165">
        <f>IFERROR(IF(MASTER!$I$14="Fix Pay",0,ROUND(H34*'DATA ENTRY'!M37,0)),0)</f>
        <v>3944</v>
      </c>
      <c r="K34" s="166">
        <f t="shared" si="14"/>
        <v>61625</v>
      </c>
      <c r="L34" s="166">
        <f t="shared" ca="1" si="15"/>
        <v>-2300</v>
      </c>
      <c r="M34" s="166">
        <f t="shared" ca="1" si="16"/>
        <v>-391</v>
      </c>
      <c r="N34" s="166">
        <f t="shared" ca="1" si="17"/>
        <v>-184</v>
      </c>
      <c r="O34" s="166">
        <f t="shared" ca="1" si="18"/>
        <v>-2875</v>
      </c>
      <c r="P34" s="385"/>
      <c r="Q34" s="385"/>
      <c r="R34" s="166">
        <f t="shared" si="19"/>
        <v>0</v>
      </c>
      <c r="S34" s="177"/>
      <c r="T34" s="177"/>
      <c r="U34" s="166">
        <f t="shared" si="20"/>
        <v>0</v>
      </c>
      <c r="V34" s="177"/>
      <c r="W34" s="177"/>
      <c r="X34" s="166">
        <f t="shared" si="21"/>
        <v>0</v>
      </c>
      <c r="Y34" s="177"/>
      <c r="Z34" s="177"/>
      <c r="AA34" s="166">
        <f t="shared" si="22"/>
        <v>0</v>
      </c>
      <c r="AB34" s="177"/>
      <c r="AC34" s="177"/>
      <c r="AD34" s="166">
        <f t="shared" si="23"/>
        <v>0</v>
      </c>
      <c r="AE34" s="177"/>
      <c r="AF34" s="165">
        <f t="shared" si="8"/>
        <v>0</v>
      </c>
      <c r="AG34" s="165">
        <f t="shared" ca="1" si="24"/>
        <v>-2875</v>
      </c>
      <c r="AH34" s="177"/>
      <c r="AI34" s="177"/>
      <c r="AJ34" s="168"/>
    </row>
    <row r="35" spans="1:36" x14ac:dyDescent="0.3">
      <c r="A35" s="206" t="str">
        <f t="shared" ca="1" si="12"/>
        <v/>
      </c>
      <c r="B35" s="165">
        <f>IF(control!A35="","",control!A35)</f>
        <v>27</v>
      </c>
      <c r="C35" s="165" t="str">
        <f>IF(control!C35="","",control!C35)</f>
        <v>Sep-21</v>
      </c>
      <c r="D35" s="165">
        <f ca="1">control!E35</f>
        <v>47000</v>
      </c>
      <c r="E35" s="165">
        <f ca="1">IFERROR(ROUND(D35*'DATA ENTRY'!F38,0),0)</f>
        <v>7990</v>
      </c>
      <c r="F35" s="165">
        <f ca="1">IFERROR(ROUND(D35*'DATA ENTRY'!G38,0),0)</f>
        <v>3760</v>
      </c>
      <c r="G35" s="166">
        <f t="shared" ca="1" si="13"/>
        <v>58750</v>
      </c>
      <c r="H35" s="165">
        <f>control!G35</f>
        <v>49300</v>
      </c>
      <c r="I35" s="165">
        <f>IFERROR(IF(MASTER!$I$14="Fix Pay",0,ROUND(H35*'DATA ENTRY'!L38,0)),0)</f>
        <v>8381</v>
      </c>
      <c r="J35" s="165">
        <f>IFERROR(IF(MASTER!$I$14="Fix Pay",0,ROUND(H35*'DATA ENTRY'!M38,0)),0)</f>
        <v>3944</v>
      </c>
      <c r="K35" s="166">
        <f t="shared" si="14"/>
        <v>61625</v>
      </c>
      <c r="L35" s="166">
        <f t="shared" ca="1" si="15"/>
        <v>-2300</v>
      </c>
      <c r="M35" s="166">
        <f t="shared" ca="1" si="16"/>
        <v>-391</v>
      </c>
      <c r="N35" s="166">
        <f t="shared" ca="1" si="17"/>
        <v>-184</v>
      </c>
      <c r="O35" s="166">
        <f t="shared" ca="1" si="18"/>
        <v>-2875</v>
      </c>
      <c r="P35" s="385"/>
      <c r="Q35" s="385"/>
      <c r="R35" s="166">
        <f t="shared" si="19"/>
        <v>0</v>
      </c>
      <c r="S35" s="177"/>
      <c r="T35" s="177"/>
      <c r="U35" s="166">
        <f t="shared" si="20"/>
        <v>0</v>
      </c>
      <c r="V35" s="177"/>
      <c r="W35" s="177"/>
      <c r="X35" s="166">
        <f t="shared" si="21"/>
        <v>0</v>
      </c>
      <c r="Y35" s="177"/>
      <c r="Z35" s="177"/>
      <c r="AA35" s="166">
        <f t="shared" si="22"/>
        <v>0</v>
      </c>
      <c r="AB35" s="177"/>
      <c r="AC35" s="177"/>
      <c r="AD35" s="166">
        <f t="shared" si="23"/>
        <v>0</v>
      </c>
      <c r="AE35" s="177"/>
      <c r="AF35" s="165">
        <f t="shared" si="8"/>
        <v>0</v>
      </c>
      <c r="AG35" s="165">
        <f t="shared" ca="1" si="24"/>
        <v>-2875</v>
      </c>
      <c r="AH35" s="177"/>
      <c r="AI35" s="177"/>
      <c r="AJ35" s="168"/>
    </row>
    <row r="36" spans="1:36" x14ac:dyDescent="0.3">
      <c r="A36" s="206" t="str">
        <f t="shared" ca="1" si="12"/>
        <v/>
      </c>
      <c r="B36" s="165">
        <f>IF(control!A36="","",control!A36)</f>
        <v>28</v>
      </c>
      <c r="C36" s="165" t="str">
        <f>IF(control!C36="","",control!C36)</f>
        <v>Oct-21</v>
      </c>
      <c r="D36" s="165">
        <f ca="1">control!E36</f>
        <v>47000</v>
      </c>
      <c r="E36" s="165">
        <f ca="1">IFERROR(ROUND(D36*'DATA ENTRY'!F39,0),0)</f>
        <v>7990</v>
      </c>
      <c r="F36" s="165">
        <f ca="1">IFERROR(ROUND(D36*'DATA ENTRY'!G39,0),0)</f>
        <v>3760</v>
      </c>
      <c r="G36" s="166">
        <f t="shared" ca="1" si="13"/>
        <v>58750</v>
      </c>
      <c r="H36" s="165">
        <f>control!G36</f>
        <v>49300</v>
      </c>
      <c r="I36" s="165">
        <f>IFERROR(IF(MASTER!$I$14="Fix Pay",0,ROUND(H36*'DATA ENTRY'!L39,0)),0)</f>
        <v>8381</v>
      </c>
      <c r="J36" s="165">
        <f>IFERROR(IF(MASTER!$I$14="Fix Pay",0,ROUND(H36*'DATA ENTRY'!M39,0)),0)</f>
        <v>3944</v>
      </c>
      <c r="K36" s="166">
        <f t="shared" si="14"/>
        <v>61625</v>
      </c>
      <c r="L36" s="166">
        <f t="shared" ca="1" si="15"/>
        <v>-2300</v>
      </c>
      <c r="M36" s="166">
        <f t="shared" ca="1" si="16"/>
        <v>-391</v>
      </c>
      <c r="N36" s="166">
        <f t="shared" ca="1" si="17"/>
        <v>-184</v>
      </c>
      <c r="O36" s="166">
        <f t="shared" ca="1" si="18"/>
        <v>-2875</v>
      </c>
      <c r="P36" s="385"/>
      <c r="Q36" s="385"/>
      <c r="R36" s="166">
        <f t="shared" si="19"/>
        <v>0</v>
      </c>
      <c r="S36" s="177"/>
      <c r="T36" s="177"/>
      <c r="U36" s="166">
        <f t="shared" si="20"/>
        <v>0</v>
      </c>
      <c r="V36" s="177"/>
      <c r="W36" s="177"/>
      <c r="X36" s="166">
        <f t="shared" si="21"/>
        <v>0</v>
      </c>
      <c r="Y36" s="177"/>
      <c r="Z36" s="177"/>
      <c r="AA36" s="166">
        <f t="shared" si="22"/>
        <v>0</v>
      </c>
      <c r="AB36" s="177"/>
      <c r="AC36" s="177"/>
      <c r="AD36" s="166">
        <f t="shared" si="23"/>
        <v>0</v>
      </c>
      <c r="AE36" s="177"/>
      <c r="AF36" s="165">
        <f t="shared" si="8"/>
        <v>0</v>
      </c>
      <c r="AG36" s="165">
        <f t="shared" ca="1" si="24"/>
        <v>-2875</v>
      </c>
      <c r="AH36" s="177"/>
      <c r="AI36" s="177"/>
      <c r="AJ36" s="168"/>
    </row>
    <row r="37" spans="1:36" x14ac:dyDescent="0.3">
      <c r="A37" s="206" t="str">
        <f t="shared" ca="1" si="12"/>
        <v/>
      </c>
      <c r="B37" s="165">
        <f>IF(control!A37="","",control!A37)</f>
        <v>29</v>
      </c>
      <c r="C37" s="165" t="str">
        <f>IF(control!C37="","",control!C37)</f>
        <v>Nov-21</v>
      </c>
      <c r="D37" s="165">
        <f ca="1">control!E37</f>
        <v>47000</v>
      </c>
      <c r="E37" s="165">
        <f ca="1">IFERROR(ROUND(D37*'DATA ENTRY'!F40,0),0)</f>
        <v>7990</v>
      </c>
      <c r="F37" s="165">
        <f ca="1">IFERROR(ROUND(D37*'DATA ENTRY'!G40,0),0)</f>
        <v>3760</v>
      </c>
      <c r="G37" s="166">
        <f t="shared" ca="1" si="13"/>
        <v>58750</v>
      </c>
      <c r="H37" s="165">
        <f>control!G37</f>
        <v>49300</v>
      </c>
      <c r="I37" s="165">
        <f>IFERROR(IF(MASTER!$I$14="Fix Pay",0,ROUND(H37*'DATA ENTRY'!L40,0)),0)</f>
        <v>8381</v>
      </c>
      <c r="J37" s="165">
        <f>IFERROR(IF(MASTER!$I$14="Fix Pay",0,ROUND(H37*'DATA ENTRY'!M40,0)),0)</f>
        <v>3944</v>
      </c>
      <c r="K37" s="166">
        <f t="shared" si="14"/>
        <v>61625</v>
      </c>
      <c r="L37" s="166">
        <f t="shared" ca="1" si="15"/>
        <v>-2300</v>
      </c>
      <c r="M37" s="166">
        <f t="shared" ca="1" si="16"/>
        <v>-391</v>
      </c>
      <c r="N37" s="166">
        <f t="shared" ca="1" si="17"/>
        <v>-184</v>
      </c>
      <c r="O37" s="166">
        <f t="shared" ca="1" si="18"/>
        <v>-2875</v>
      </c>
      <c r="P37" s="385"/>
      <c r="Q37" s="385"/>
      <c r="R37" s="166">
        <f t="shared" si="19"/>
        <v>0</v>
      </c>
      <c r="S37" s="177"/>
      <c r="T37" s="177"/>
      <c r="U37" s="166">
        <f t="shared" si="20"/>
        <v>0</v>
      </c>
      <c r="V37" s="177"/>
      <c r="W37" s="177"/>
      <c r="X37" s="166">
        <f t="shared" si="21"/>
        <v>0</v>
      </c>
      <c r="Y37" s="177"/>
      <c r="Z37" s="177"/>
      <c r="AA37" s="166">
        <f t="shared" si="22"/>
        <v>0</v>
      </c>
      <c r="AB37" s="177"/>
      <c r="AC37" s="177"/>
      <c r="AD37" s="166">
        <f t="shared" si="23"/>
        <v>0</v>
      </c>
      <c r="AE37" s="177"/>
      <c r="AF37" s="165">
        <f t="shared" si="8"/>
        <v>0</v>
      </c>
      <c r="AG37" s="165">
        <f t="shared" ca="1" si="24"/>
        <v>-2875</v>
      </c>
      <c r="AH37" s="177"/>
      <c r="AI37" s="177"/>
      <c r="AJ37" s="168"/>
    </row>
    <row r="38" spans="1:36" x14ac:dyDescent="0.3">
      <c r="A38" s="206" t="str">
        <f t="shared" ca="1" si="12"/>
        <v/>
      </c>
      <c r="B38" s="165">
        <f>IF(control!A38="","",control!A38)</f>
        <v>30</v>
      </c>
      <c r="C38" s="165" t="str">
        <f>IF(control!C38="","",control!C38)</f>
        <v>Dec-21</v>
      </c>
      <c r="D38" s="165">
        <f ca="1">control!E38</f>
        <v>47000</v>
      </c>
      <c r="E38" s="165">
        <f ca="1">IFERROR(ROUND(D38*'DATA ENTRY'!F41,0),0)</f>
        <v>7990</v>
      </c>
      <c r="F38" s="165">
        <f ca="1">IFERROR(ROUND(D38*'DATA ENTRY'!G41,0),0)</f>
        <v>3760</v>
      </c>
      <c r="G38" s="166">
        <f t="shared" ca="1" si="13"/>
        <v>58750</v>
      </c>
      <c r="H38" s="165">
        <f>control!G38</f>
        <v>49300</v>
      </c>
      <c r="I38" s="165">
        <f>IFERROR(IF(MASTER!$I$14="Fix Pay",0,ROUND(H38*'DATA ENTRY'!L41,0)),0)</f>
        <v>8381</v>
      </c>
      <c r="J38" s="165">
        <f>IFERROR(IF(MASTER!$I$14="Fix Pay",0,ROUND(H38*'DATA ENTRY'!M41,0)),0)</f>
        <v>3944</v>
      </c>
      <c r="K38" s="166">
        <f t="shared" si="14"/>
        <v>61625</v>
      </c>
      <c r="L38" s="166">
        <f t="shared" ca="1" si="15"/>
        <v>-2300</v>
      </c>
      <c r="M38" s="166">
        <f t="shared" ca="1" si="16"/>
        <v>-391</v>
      </c>
      <c r="N38" s="166">
        <f t="shared" ca="1" si="17"/>
        <v>-184</v>
      </c>
      <c r="O38" s="166">
        <f t="shared" ca="1" si="18"/>
        <v>-2875</v>
      </c>
      <c r="P38" s="385"/>
      <c r="Q38" s="385"/>
      <c r="R38" s="166">
        <f t="shared" si="19"/>
        <v>0</v>
      </c>
      <c r="S38" s="177"/>
      <c r="T38" s="177"/>
      <c r="U38" s="166">
        <f t="shared" si="20"/>
        <v>0</v>
      </c>
      <c r="V38" s="177"/>
      <c r="W38" s="177"/>
      <c r="X38" s="166">
        <f t="shared" si="21"/>
        <v>0</v>
      </c>
      <c r="Y38" s="177"/>
      <c r="Z38" s="177"/>
      <c r="AA38" s="166">
        <f t="shared" si="22"/>
        <v>0</v>
      </c>
      <c r="AB38" s="177"/>
      <c r="AC38" s="177"/>
      <c r="AD38" s="166">
        <f t="shared" si="23"/>
        <v>0</v>
      </c>
      <c r="AE38" s="177"/>
      <c r="AF38" s="165">
        <f t="shared" si="8"/>
        <v>0</v>
      </c>
      <c r="AG38" s="165">
        <f t="shared" ca="1" si="24"/>
        <v>-2875</v>
      </c>
      <c r="AH38" s="177"/>
      <c r="AI38" s="177"/>
      <c r="AJ38" s="168"/>
    </row>
    <row r="39" spans="1:36" x14ac:dyDescent="0.3">
      <c r="A39" s="206" t="str">
        <f t="shared" ca="1" si="12"/>
        <v/>
      </c>
      <c r="B39" s="165">
        <f>IF(control!A39="","",control!A39)</f>
        <v>31</v>
      </c>
      <c r="C39" s="165" t="str">
        <f>IF(control!C39="","",control!C39)</f>
        <v>Jan-22</v>
      </c>
      <c r="D39" s="165">
        <f ca="1">control!E39</f>
        <v>47000</v>
      </c>
      <c r="E39" s="165">
        <f ca="1">IFERROR(ROUND(D39*'DATA ENTRY'!F42,0),0)</f>
        <v>7990</v>
      </c>
      <c r="F39" s="165">
        <f ca="1">IFERROR(ROUND(D39*'DATA ENTRY'!G42,0),0)</f>
        <v>3760</v>
      </c>
      <c r="G39" s="166">
        <f t="shared" ca="1" si="13"/>
        <v>58750</v>
      </c>
      <c r="H39" s="165">
        <f>control!G39</f>
        <v>49300</v>
      </c>
      <c r="I39" s="165">
        <f>IFERROR(IF(MASTER!$I$14="Fix Pay",0,ROUND(H39*'DATA ENTRY'!L42,0)),0)</f>
        <v>8381</v>
      </c>
      <c r="J39" s="165">
        <f>IFERROR(IF(MASTER!$I$14="Fix Pay",0,ROUND(H39*'DATA ENTRY'!M42,0)),0)</f>
        <v>3944</v>
      </c>
      <c r="K39" s="166">
        <f t="shared" si="14"/>
        <v>61625</v>
      </c>
      <c r="L39" s="166">
        <f t="shared" ca="1" si="15"/>
        <v>-2300</v>
      </c>
      <c r="M39" s="166">
        <f t="shared" ca="1" si="16"/>
        <v>-391</v>
      </c>
      <c r="N39" s="166">
        <f t="shared" ca="1" si="17"/>
        <v>-184</v>
      </c>
      <c r="O39" s="166">
        <f t="shared" ca="1" si="18"/>
        <v>-2875</v>
      </c>
      <c r="P39" s="385"/>
      <c r="Q39" s="385"/>
      <c r="R39" s="166">
        <f t="shared" si="19"/>
        <v>0</v>
      </c>
      <c r="S39" s="177"/>
      <c r="T39" s="177"/>
      <c r="U39" s="166">
        <f t="shared" si="20"/>
        <v>0</v>
      </c>
      <c r="V39" s="177"/>
      <c r="W39" s="177"/>
      <c r="X39" s="166">
        <f t="shared" si="21"/>
        <v>0</v>
      </c>
      <c r="Y39" s="177"/>
      <c r="Z39" s="177"/>
      <c r="AA39" s="166">
        <f t="shared" si="22"/>
        <v>0</v>
      </c>
      <c r="AB39" s="177"/>
      <c r="AC39" s="177"/>
      <c r="AD39" s="166">
        <f t="shared" si="23"/>
        <v>0</v>
      </c>
      <c r="AE39" s="177"/>
      <c r="AF39" s="165">
        <f t="shared" si="8"/>
        <v>0</v>
      </c>
      <c r="AG39" s="165">
        <f t="shared" ca="1" si="24"/>
        <v>-2875</v>
      </c>
      <c r="AH39" s="177"/>
      <c r="AI39" s="177"/>
      <c r="AJ39" s="168"/>
    </row>
    <row r="40" spans="1:36" x14ac:dyDescent="0.3">
      <c r="A40" s="206" t="str">
        <f t="shared" ca="1" si="12"/>
        <v/>
      </c>
      <c r="B40" s="165">
        <f>IF(control!A40="","",control!A40)</f>
        <v>32</v>
      </c>
      <c r="C40" s="165" t="str">
        <f>IF(control!C40="","",control!C40)</f>
        <v>Feb-22</v>
      </c>
      <c r="D40" s="165">
        <f ca="1">control!E40</f>
        <v>47000</v>
      </c>
      <c r="E40" s="165">
        <f ca="1">IFERROR(ROUND(D40*'DATA ENTRY'!F43,0),0)</f>
        <v>7990</v>
      </c>
      <c r="F40" s="165">
        <f ca="1">IFERROR(ROUND(D40*'DATA ENTRY'!G43,0),0)</f>
        <v>3760</v>
      </c>
      <c r="G40" s="166">
        <f t="shared" ca="1" si="13"/>
        <v>58750</v>
      </c>
      <c r="H40" s="165">
        <f>control!G40</f>
        <v>49300</v>
      </c>
      <c r="I40" s="165">
        <f>IFERROR(IF(MASTER!$I$14="Fix Pay",0,ROUND(H40*'DATA ENTRY'!L43,0)),0)</f>
        <v>8381</v>
      </c>
      <c r="J40" s="165">
        <f>IFERROR(IF(MASTER!$I$14="Fix Pay",0,ROUND(H40*'DATA ENTRY'!M43,0)),0)</f>
        <v>3944</v>
      </c>
      <c r="K40" s="166">
        <f t="shared" si="14"/>
        <v>61625</v>
      </c>
      <c r="L40" s="166">
        <f t="shared" ca="1" si="15"/>
        <v>-2300</v>
      </c>
      <c r="M40" s="166">
        <f t="shared" ca="1" si="16"/>
        <v>-391</v>
      </c>
      <c r="N40" s="166">
        <f t="shared" ca="1" si="17"/>
        <v>-184</v>
      </c>
      <c r="O40" s="166">
        <f t="shared" ca="1" si="18"/>
        <v>-2875</v>
      </c>
      <c r="P40" s="385"/>
      <c r="Q40" s="385"/>
      <c r="R40" s="166">
        <f t="shared" si="19"/>
        <v>0</v>
      </c>
      <c r="S40" s="177"/>
      <c r="T40" s="177"/>
      <c r="U40" s="166">
        <f t="shared" si="20"/>
        <v>0</v>
      </c>
      <c r="V40" s="177"/>
      <c r="W40" s="177"/>
      <c r="X40" s="166">
        <f t="shared" si="21"/>
        <v>0</v>
      </c>
      <c r="Y40" s="177"/>
      <c r="Z40" s="177"/>
      <c r="AA40" s="166">
        <f t="shared" si="22"/>
        <v>0</v>
      </c>
      <c r="AB40" s="177"/>
      <c r="AC40" s="177"/>
      <c r="AD40" s="166">
        <f t="shared" si="23"/>
        <v>0</v>
      </c>
      <c r="AE40" s="177"/>
      <c r="AF40" s="165">
        <f t="shared" si="8"/>
        <v>0</v>
      </c>
      <c r="AG40" s="165">
        <f t="shared" ca="1" si="24"/>
        <v>-2875</v>
      </c>
      <c r="AH40" s="177"/>
      <c r="AI40" s="177"/>
      <c r="AJ40" s="168"/>
    </row>
    <row r="41" spans="1:36" x14ac:dyDescent="0.3">
      <c r="A41" s="206" t="str">
        <f t="shared" ca="1" si="12"/>
        <v/>
      </c>
      <c r="B41" s="165">
        <f>IF(control!A41="","",control!A41)</f>
        <v>33</v>
      </c>
      <c r="C41" s="165" t="str">
        <f>IF(control!C41="","",control!C41)</f>
        <v>Mar-22</v>
      </c>
      <c r="D41" s="165">
        <f ca="1">control!E41</f>
        <v>47000</v>
      </c>
      <c r="E41" s="165">
        <f ca="1">IFERROR(ROUND(D41*'DATA ENTRY'!F44,0),0)</f>
        <v>7990</v>
      </c>
      <c r="F41" s="165">
        <f ca="1">IFERROR(ROUND(D41*'DATA ENTRY'!G44,0),0)</f>
        <v>3760</v>
      </c>
      <c r="G41" s="166">
        <f t="shared" ca="1" si="13"/>
        <v>58750</v>
      </c>
      <c r="H41" s="165">
        <f>control!G41</f>
        <v>49300</v>
      </c>
      <c r="I41" s="165">
        <f>IFERROR(IF(MASTER!$I$14="Fix Pay",0,ROUND(H41*'DATA ENTRY'!L44,0)),0)</f>
        <v>8381</v>
      </c>
      <c r="J41" s="165">
        <f>IFERROR(IF(MASTER!$I$14="Fix Pay",0,ROUND(H41*'DATA ENTRY'!M44,0)),0)</f>
        <v>3944</v>
      </c>
      <c r="K41" s="166">
        <f t="shared" si="14"/>
        <v>61625</v>
      </c>
      <c r="L41" s="166">
        <f t="shared" ca="1" si="15"/>
        <v>-2300</v>
      </c>
      <c r="M41" s="166">
        <f t="shared" ca="1" si="16"/>
        <v>-391</v>
      </c>
      <c r="N41" s="166">
        <f t="shared" ca="1" si="17"/>
        <v>-184</v>
      </c>
      <c r="O41" s="166">
        <f t="shared" ca="1" si="18"/>
        <v>-2875</v>
      </c>
      <c r="P41" s="385"/>
      <c r="Q41" s="385"/>
      <c r="R41" s="166">
        <f t="shared" si="19"/>
        <v>0</v>
      </c>
      <c r="S41" s="177"/>
      <c r="T41" s="177"/>
      <c r="U41" s="166">
        <f t="shared" si="20"/>
        <v>0</v>
      </c>
      <c r="V41" s="177"/>
      <c r="W41" s="177"/>
      <c r="X41" s="166">
        <f t="shared" si="21"/>
        <v>0</v>
      </c>
      <c r="Y41" s="177"/>
      <c r="Z41" s="177"/>
      <c r="AA41" s="166">
        <f t="shared" si="22"/>
        <v>0</v>
      </c>
      <c r="AB41" s="177"/>
      <c r="AC41" s="177"/>
      <c r="AD41" s="166">
        <f t="shared" si="23"/>
        <v>0</v>
      </c>
      <c r="AE41" s="177"/>
      <c r="AF41" s="165">
        <f t="shared" si="8"/>
        <v>0</v>
      </c>
      <c r="AG41" s="165">
        <f t="shared" ca="1" si="24"/>
        <v>-2875</v>
      </c>
      <c r="AH41" s="177"/>
      <c r="AI41" s="177"/>
      <c r="AJ41" s="168"/>
    </row>
    <row r="42" spans="1:36" x14ac:dyDescent="0.3">
      <c r="A42" s="206" t="str">
        <f t="shared" ca="1" si="12"/>
        <v/>
      </c>
      <c r="B42" s="165">
        <f>IF(control!A42="","",control!A42)</f>
        <v>34</v>
      </c>
      <c r="C42" s="165" t="str">
        <f>IF(control!C42="","",control!C42)</f>
        <v>Apr-22</v>
      </c>
      <c r="D42" s="165">
        <f ca="1">control!E42</f>
        <v>47000</v>
      </c>
      <c r="E42" s="165">
        <f ca="1">IFERROR(ROUND(D42*'DATA ENTRY'!F45,0),0)</f>
        <v>7990</v>
      </c>
      <c r="F42" s="165">
        <f ca="1">IFERROR(ROUND(D42*'DATA ENTRY'!G45,0),0)</f>
        <v>3760</v>
      </c>
      <c r="G42" s="166">
        <f t="shared" ca="1" si="13"/>
        <v>58750</v>
      </c>
      <c r="H42" s="165">
        <f>control!G42</f>
        <v>49300</v>
      </c>
      <c r="I42" s="165">
        <f>IFERROR(IF(MASTER!$I$14="Fix Pay",0,ROUND(H42*'DATA ENTRY'!L45,0)),0)</f>
        <v>8381</v>
      </c>
      <c r="J42" s="165">
        <f>IFERROR(IF(MASTER!$I$14="Fix Pay",0,ROUND(H42*'DATA ENTRY'!M45,0)),0)</f>
        <v>3944</v>
      </c>
      <c r="K42" s="166">
        <f t="shared" si="14"/>
        <v>61625</v>
      </c>
      <c r="L42" s="166">
        <f t="shared" ca="1" si="15"/>
        <v>-2300</v>
      </c>
      <c r="M42" s="166">
        <f t="shared" ca="1" si="16"/>
        <v>-391</v>
      </c>
      <c r="N42" s="166">
        <f t="shared" ca="1" si="17"/>
        <v>-184</v>
      </c>
      <c r="O42" s="166">
        <f t="shared" ca="1" si="18"/>
        <v>-2875</v>
      </c>
      <c r="P42" s="385"/>
      <c r="Q42" s="385"/>
      <c r="R42" s="166">
        <f t="shared" si="19"/>
        <v>0</v>
      </c>
      <c r="S42" s="177"/>
      <c r="T42" s="177"/>
      <c r="U42" s="166">
        <f t="shared" si="20"/>
        <v>0</v>
      </c>
      <c r="V42" s="177"/>
      <c r="W42" s="177"/>
      <c r="X42" s="166">
        <f t="shared" si="21"/>
        <v>0</v>
      </c>
      <c r="Y42" s="177"/>
      <c r="Z42" s="177"/>
      <c r="AA42" s="166">
        <f t="shared" si="22"/>
        <v>0</v>
      </c>
      <c r="AB42" s="177"/>
      <c r="AC42" s="177"/>
      <c r="AD42" s="166">
        <f t="shared" si="23"/>
        <v>0</v>
      </c>
      <c r="AE42" s="177"/>
      <c r="AF42" s="165">
        <f t="shared" si="8"/>
        <v>0</v>
      </c>
      <c r="AG42" s="165">
        <f t="shared" ca="1" si="24"/>
        <v>-2875</v>
      </c>
      <c r="AH42" s="177"/>
      <c r="AI42" s="177"/>
      <c r="AJ42" s="168"/>
    </row>
    <row r="43" spans="1:36" x14ac:dyDescent="0.3">
      <c r="A43" s="206" t="str">
        <f t="shared" ca="1" si="12"/>
        <v/>
      </c>
      <c r="B43" s="165">
        <f>IF(control!A43="","",control!A43)</f>
        <v>35</v>
      </c>
      <c r="C43" s="165" t="str">
        <f>IF(control!C43="","",control!C43)</f>
        <v>May-22</v>
      </c>
      <c r="D43" s="165">
        <f ca="1">control!E43</f>
        <v>47000</v>
      </c>
      <c r="E43" s="165">
        <f ca="1">IFERROR(ROUND(D43*'DATA ENTRY'!F46,0),0)</f>
        <v>7990</v>
      </c>
      <c r="F43" s="165">
        <f ca="1">IFERROR(ROUND(D43*'DATA ENTRY'!G46,0),0)</f>
        <v>3760</v>
      </c>
      <c r="G43" s="166">
        <f t="shared" ca="1" si="13"/>
        <v>58750</v>
      </c>
      <c r="H43" s="165">
        <f>control!G43</f>
        <v>49300</v>
      </c>
      <c r="I43" s="165">
        <f>IFERROR(IF(MASTER!$I$14="Fix Pay",0,ROUND(H43*'DATA ENTRY'!L46,0)),0)</f>
        <v>8381</v>
      </c>
      <c r="J43" s="165">
        <f>IFERROR(IF(MASTER!$I$14="Fix Pay",0,ROUND(H43*'DATA ENTRY'!M46,0)),0)</f>
        <v>3944</v>
      </c>
      <c r="K43" s="166">
        <f t="shared" si="14"/>
        <v>61625</v>
      </c>
      <c r="L43" s="166">
        <f t="shared" ca="1" si="15"/>
        <v>-2300</v>
      </c>
      <c r="M43" s="166">
        <f t="shared" ca="1" si="16"/>
        <v>-391</v>
      </c>
      <c r="N43" s="166">
        <f t="shared" ca="1" si="17"/>
        <v>-184</v>
      </c>
      <c r="O43" s="166">
        <f t="shared" ca="1" si="18"/>
        <v>-2875</v>
      </c>
      <c r="P43" s="385"/>
      <c r="Q43" s="385"/>
      <c r="R43" s="166">
        <f t="shared" si="19"/>
        <v>0</v>
      </c>
      <c r="S43" s="177"/>
      <c r="T43" s="177"/>
      <c r="U43" s="166">
        <f t="shared" si="20"/>
        <v>0</v>
      </c>
      <c r="V43" s="177"/>
      <c r="W43" s="177"/>
      <c r="X43" s="166">
        <f t="shared" si="21"/>
        <v>0</v>
      </c>
      <c r="Y43" s="177"/>
      <c r="Z43" s="177"/>
      <c r="AA43" s="166">
        <f t="shared" si="22"/>
        <v>0</v>
      </c>
      <c r="AB43" s="177"/>
      <c r="AC43" s="177"/>
      <c r="AD43" s="166">
        <f t="shared" si="23"/>
        <v>0</v>
      </c>
      <c r="AE43" s="177"/>
      <c r="AF43" s="165">
        <f t="shared" si="8"/>
        <v>0</v>
      </c>
      <c r="AG43" s="165">
        <f t="shared" ca="1" si="24"/>
        <v>-2875</v>
      </c>
      <c r="AH43" s="177"/>
      <c r="AI43" s="177"/>
      <c r="AJ43" s="168"/>
    </row>
    <row r="44" spans="1:36" x14ac:dyDescent="0.3">
      <c r="A44" s="206" t="str">
        <f t="shared" ca="1" si="12"/>
        <v/>
      </c>
      <c r="B44" s="165">
        <f>IF(control!A44="","",control!A44)</f>
        <v>36</v>
      </c>
      <c r="C44" s="165" t="str">
        <f>IF(control!C44="","",control!C44)</f>
        <v>Jun-22</v>
      </c>
      <c r="D44" s="165">
        <f ca="1">control!E44</f>
        <v>47000</v>
      </c>
      <c r="E44" s="165">
        <f ca="1">IFERROR(ROUND(D44*'DATA ENTRY'!F47,0),0)</f>
        <v>7990</v>
      </c>
      <c r="F44" s="165">
        <f ca="1">IFERROR(ROUND(D44*'DATA ENTRY'!G47,0),0)</f>
        <v>3760</v>
      </c>
      <c r="G44" s="166">
        <f t="shared" ref="G44" ca="1" si="25">IFERROR(D44+E44+F44,0)</f>
        <v>58750</v>
      </c>
      <c r="H44" s="165">
        <f>control!G44</f>
        <v>49300</v>
      </c>
      <c r="I44" s="165">
        <f>IFERROR(IF(MASTER!$I$14="Fix Pay",0,ROUND(H44*'DATA ENTRY'!L47,0)),0)</f>
        <v>8381</v>
      </c>
      <c r="J44" s="165">
        <f>IFERROR(IF(MASTER!$I$14="Fix Pay",0,ROUND(H44*'DATA ENTRY'!M47,0)),0)</f>
        <v>3944</v>
      </c>
      <c r="K44" s="166">
        <f t="shared" ref="K44" si="26">IFERROR(H44+I44+J44,0)</f>
        <v>61625</v>
      </c>
      <c r="L44" s="166">
        <f t="shared" ref="L44" ca="1" si="27">IFERROR(D44-H44,0)</f>
        <v>-2300</v>
      </c>
      <c r="M44" s="166">
        <f t="shared" ref="M44" ca="1" si="28">IFERROR(E44-I44,0)</f>
        <v>-391</v>
      </c>
      <c r="N44" s="166">
        <f t="shared" ref="N44" ca="1" si="29">IFERROR(F44-J44,0)</f>
        <v>-184</v>
      </c>
      <c r="O44" s="166">
        <f t="shared" ref="O44" ca="1" si="30">IFERROR(L44+M44+N44,0)</f>
        <v>-2875</v>
      </c>
      <c r="P44" s="385"/>
      <c r="Q44" s="385"/>
      <c r="R44" s="166">
        <f t="shared" ref="R44" si="31">IFERROR(P44-Q44,0)</f>
        <v>0</v>
      </c>
      <c r="S44" s="177"/>
      <c r="T44" s="177"/>
      <c r="U44" s="166">
        <f t="shared" ref="U44" si="32">IFERROR(S44-T44,0)</f>
        <v>0</v>
      </c>
      <c r="V44" s="177"/>
      <c r="W44" s="177"/>
      <c r="X44" s="166">
        <f t="shared" ref="X44" si="33">IFERROR(V44-W44,0)</f>
        <v>0</v>
      </c>
      <c r="Y44" s="177"/>
      <c r="Z44" s="177"/>
      <c r="AA44" s="166">
        <f t="shared" ref="AA44" si="34">IFERROR(Y44-Z44,0)</f>
        <v>0</v>
      </c>
      <c r="AB44" s="177"/>
      <c r="AC44" s="177"/>
      <c r="AD44" s="166">
        <f t="shared" ref="AD44" si="35">IFERROR(AB44-AC44,0)</f>
        <v>0</v>
      </c>
      <c r="AE44" s="177"/>
      <c r="AF44" s="165">
        <f t="shared" si="8"/>
        <v>0</v>
      </c>
      <c r="AG44" s="165">
        <f t="shared" ref="AG44" ca="1" si="36">O44-AF44</f>
        <v>-2875</v>
      </c>
      <c r="AH44" s="177"/>
      <c r="AI44" s="177"/>
      <c r="AJ44" s="168"/>
    </row>
    <row r="45" spans="1:36" x14ac:dyDescent="0.3">
      <c r="A45" s="206" t="str">
        <f t="shared" ca="1" si="12"/>
        <v/>
      </c>
      <c r="B45" s="165">
        <f>IF(control!A45="","",control!A45)</f>
        <v>37</v>
      </c>
      <c r="C45" s="165" t="str">
        <f>IF(control!C45="","",control!C45)</f>
        <v>Jul-22</v>
      </c>
      <c r="D45" s="165">
        <f ca="1">control!E45</f>
        <v>48400</v>
      </c>
      <c r="E45" s="165">
        <f ca="1">IFERROR(ROUND(D45*'DATA ENTRY'!F48,0),0)</f>
        <v>8228</v>
      </c>
      <c r="F45" s="165">
        <f ca="1">IFERROR(ROUND(D45*'DATA ENTRY'!G48,0),0)</f>
        <v>3872</v>
      </c>
      <c r="G45" s="166">
        <f t="shared" ref="G45:G56" ca="1" si="37">IFERROR(D45+E45+F45,0)</f>
        <v>60500</v>
      </c>
      <c r="H45" s="165">
        <f>control!G45</f>
        <v>50800</v>
      </c>
      <c r="I45" s="165">
        <f>IFERROR(IF(MASTER!$I$14="Fix Pay",0,ROUND(H45*'DATA ENTRY'!L48,0)),0)</f>
        <v>8636</v>
      </c>
      <c r="J45" s="165">
        <f>IFERROR(IF(MASTER!$I$14="Fix Pay",0,ROUND(H45*'DATA ENTRY'!M48,0)),0)</f>
        <v>4064</v>
      </c>
      <c r="K45" s="166">
        <f t="shared" ref="K45:K56" si="38">IFERROR(H45+I45+J45,0)</f>
        <v>63500</v>
      </c>
      <c r="L45" s="166">
        <f t="shared" ref="L45:L56" ca="1" si="39">IFERROR(D45-H45,0)</f>
        <v>-2400</v>
      </c>
      <c r="M45" s="166">
        <f t="shared" ref="M45:M56" ca="1" si="40">IFERROR(E45-I45,0)</f>
        <v>-408</v>
      </c>
      <c r="N45" s="166">
        <f t="shared" ref="N45:N56" ca="1" si="41">IFERROR(F45-J45,0)</f>
        <v>-192</v>
      </c>
      <c r="O45" s="166">
        <f t="shared" ref="O45:O56" ca="1" si="42">IFERROR(L45+M45+N45,0)</f>
        <v>-3000</v>
      </c>
      <c r="P45" s="385"/>
      <c r="Q45" s="385"/>
      <c r="R45" s="166">
        <f t="shared" ref="R45:R56" si="43">IFERROR(P45-Q45,0)</f>
        <v>0</v>
      </c>
      <c r="S45" s="177"/>
      <c r="T45" s="177"/>
      <c r="U45" s="166">
        <f t="shared" ref="U45:U56" si="44">IFERROR(S45-T45,0)</f>
        <v>0</v>
      </c>
      <c r="V45" s="177"/>
      <c r="W45" s="177"/>
      <c r="X45" s="166">
        <f t="shared" ref="X45:X56" si="45">IFERROR(V45-W45,0)</f>
        <v>0</v>
      </c>
      <c r="Y45" s="177"/>
      <c r="Z45" s="177"/>
      <c r="AA45" s="166">
        <f t="shared" ref="AA45:AA56" si="46">IFERROR(Y45-Z45,0)</f>
        <v>0</v>
      </c>
      <c r="AB45" s="177"/>
      <c r="AC45" s="177"/>
      <c r="AD45" s="166">
        <f t="shared" ref="AD45:AD56" si="47">IFERROR(AB45-AC45,0)</f>
        <v>0</v>
      </c>
      <c r="AE45" s="177"/>
      <c r="AF45" s="165">
        <f t="shared" si="8"/>
        <v>0</v>
      </c>
      <c r="AG45" s="165">
        <f t="shared" ref="AG45:AG56" ca="1" si="48">O45-AF45</f>
        <v>-3000</v>
      </c>
      <c r="AH45" s="177"/>
      <c r="AI45" s="177"/>
      <c r="AJ45" s="168"/>
    </row>
    <row r="46" spans="1:36" x14ac:dyDescent="0.3">
      <c r="A46" s="206" t="str">
        <f t="shared" ca="1" si="12"/>
        <v/>
      </c>
      <c r="B46" s="165">
        <f>IF(control!A46="","",control!A46)</f>
        <v>38</v>
      </c>
      <c r="C46" s="165" t="str">
        <f>IF(control!C46="","",control!C46)</f>
        <v>Aug-22</v>
      </c>
      <c r="D46" s="165">
        <f ca="1">control!E46</f>
        <v>48400</v>
      </c>
      <c r="E46" s="165">
        <f ca="1">IFERROR(ROUND(D46*'DATA ENTRY'!F49,0),0)</f>
        <v>8228</v>
      </c>
      <c r="F46" s="165">
        <f ca="1">IFERROR(ROUND(D46*'DATA ENTRY'!G49,0),0)</f>
        <v>3872</v>
      </c>
      <c r="G46" s="166">
        <f t="shared" ca="1" si="37"/>
        <v>60500</v>
      </c>
      <c r="H46" s="165">
        <f>control!G46</f>
        <v>50800</v>
      </c>
      <c r="I46" s="165">
        <f>IFERROR(IF(MASTER!$I$14="Fix Pay",0,ROUND(H46*'DATA ENTRY'!L49,0)),0)</f>
        <v>8636</v>
      </c>
      <c r="J46" s="165">
        <f>IFERROR(IF(MASTER!$I$14="Fix Pay",0,ROUND(H46*'DATA ENTRY'!M49,0)),0)</f>
        <v>4064</v>
      </c>
      <c r="K46" s="166">
        <f t="shared" si="38"/>
        <v>63500</v>
      </c>
      <c r="L46" s="166">
        <f t="shared" ca="1" si="39"/>
        <v>-2400</v>
      </c>
      <c r="M46" s="166">
        <f t="shared" ca="1" si="40"/>
        <v>-408</v>
      </c>
      <c r="N46" s="166">
        <f t="shared" ca="1" si="41"/>
        <v>-192</v>
      </c>
      <c r="O46" s="166">
        <f t="shared" ca="1" si="42"/>
        <v>-3000</v>
      </c>
      <c r="P46" s="385"/>
      <c r="Q46" s="385"/>
      <c r="R46" s="166">
        <f t="shared" si="43"/>
        <v>0</v>
      </c>
      <c r="S46" s="177"/>
      <c r="T46" s="177"/>
      <c r="U46" s="166">
        <f t="shared" si="44"/>
        <v>0</v>
      </c>
      <c r="V46" s="177"/>
      <c r="W46" s="177"/>
      <c r="X46" s="166">
        <f t="shared" si="45"/>
        <v>0</v>
      </c>
      <c r="Y46" s="177"/>
      <c r="Z46" s="177"/>
      <c r="AA46" s="166">
        <f t="shared" si="46"/>
        <v>0</v>
      </c>
      <c r="AB46" s="177"/>
      <c r="AC46" s="177"/>
      <c r="AD46" s="166">
        <f t="shared" si="47"/>
        <v>0</v>
      </c>
      <c r="AE46" s="177"/>
      <c r="AF46" s="165">
        <f t="shared" si="8"/>
        <v>0</v>
      </c>
      <c r="AG46" s="165">
        <f t="shared" ca="1" si="48"/>
        <v>-3000</v>
      </c>
      <c r="AH46" s="177"/>
      <c r="AI46" s="177"/>
      <c r="AJ46" s="168"/>
    </row>
    <row r="47" spans="1:36" x14ac:dyDescent="0.3">
      <c r="A47" s="206" t="str">
        <f t="shared" ca="1" si="12"/>
        <v/>
      </c>
      <c r="B47" s="165">
        <f>IF(control!A47="","",control!A47)</f>
        <v>39</v>
      </c>
      <c r="C47" s="165" t="str">
        <f>IF(control!C47="","",control!C47)</f>
        <v>Sep-22</v>
      </c>
      <c r="D47" s="165">
        <f ca="1">control!E47</f>
        <v>48400</v>
      </c>
      <c r="E47" s="165">
        <f ca="1">IFERROR(ROUND(D47*'DATA ENTRY'!F50,0),0)</f>
        <v>8228</v>
      </c>
      <c r="F47" s="165">
        <f ca="1">IFERROR(ROUND(D47*'DATA ENTRY'!G50,0),0)</f>
        <v>3872</v>
      </c>
      <c r="G47" s="166">
        <f t="shared" ca="1" si="37"/>
        <v>60500</v>
      </c>
      <c r="H47" s="165">
        <f>control!G47</f>
        <v>50800</v>
      </c>
      <c r="I47" s="165">
        <f>IFERROR(IF(MASTER!$I$14="Fix Pay",0,ROUND(H47*'DATA ENTRY'!L50,0)),0)</f>
        <v>8636</v>
      </c>
      <c r="J47" s="165">
        <f>IFERROR(IF(MASTER!$I$14="Fix Pay",0,ROUND(H47*'DATA ENTRY'!M50,0)),0)</f>
        <v>4064</v>
      </c>
      <c r="K47" s="166">
        <f t="shared" si="38"/>
        <v>63500</v>
      </c>
      <c r="L47" s="166">
        <f t="shared" ca="1" si="39"/>
        <v>-2400</v>
      </c>
      <c r="M47" s="166">
        <f t="shared" ca="1" si="40"/>
        <v>-408</v>
      </c>
      <c r="N47" s="166">
        <f t="shared" ca="1" si="41"/>
        <v>-192</v>
      </c>
      <c r="O47" s="166">
        <f t="shared" ca="1" si="42"/>
        <v>-3000</v>
      </c>
      <c r="P47" s="385"/>
      <c r="Q47" s="385"/>
      <c r="R47" s="166">
        <f t="shared" si="43"/>
        <v>0</v>
      </c>
      <c r="S47" s="177"/>
      <c r="T47" s="177"/>
      <c r="U47" s="166">
        <f t="shared" si="44"/>
        <v>0</v>
      </c>
      <c r="V47" s="177"/>
      <c r="W47" s="177"/>
      <c r="X47" s="166">
        <f t="shared" si="45"/>
        <v>0</v>
      </c>
      <c r="Y47" s="177"/>
      <c r="Z47" s="177"/>
      <c r="AA47" s="166">
        <f t="shared" si="46"/>
        <v>0</v>
      </c>
      <c r="AB47" s="177"/>
      <c r="AC47" s="177"/>
      <c r="AD47" s="166">
        <f t="shared" si="47"/>
        <v>0</v>
      </c>
      <c r="AE47" s="177"/>
      <c r="AF47" s="165">
        <f t="shared" si="8"/>
        <v>0</v>
      </c>
      <c r="AG47" s="165">
        <f t="shared" ca="1" si="48"/>
        <v>-3000</v>
      </c>
      <c r="AH47" s="177"/>
      <c r="AI47" s="177"/>
      <c r="AJ47" s="168"/>
    </row>
    <row r="48" spans="1:36" x14ac:dyDescent="0.3">
      <c r="A48" s="206" t="str">
        <f t="shared" ca="1" si="12"/>
        <v/>
      </c>
      <c r="B48" s="165">
        <f>IF(control!A48="","",control!A48)</f>
        <v>40</v>
      </c>
      <c r="C48" s="165" t="str">
        <f>IF(control!C48="","",control!C48)</f>
        <v>Oct-22</v>
      </c>
      <c r="D48" s="165">
        <f ca="1">control!E48</f>
        <v>48400</v>
      </c>
      <c r="E48" s="165">
        <f ca="1">IFERROR(ROUND(D48*'DATA ENTRY'!F51,0),0)</f>
        <v>8228</v>
      </c>
      <c r="F48" s="165">
        <f ca="1">IFERROR(ROUND(D48*'DATA ENTRY'!G51,0),0)</f>
        <v>3872</v>
      </c>
      <c r="G48" s="166">
        <f t="shared" ca="1" si="37"/>
        <v>60500</v>
      </c>
      <c r="H48" s="165">
        <f>control!G48</f>
        <v>50800</v>
      </c>
      <c r="I48" s="165">
        <f>IFERROR(IF(MASTER!$I$14="Fix Pay",0,ROUND(H48*'DATA ENTRY'!L51,0)),0)</f>
        <v>8636</v>
      </c>
      <c r="J48" s="165">
        <f>IFERROR(IF(MASTER!$I$14="Fix Pay",0,ROUND(H48*'DATA ENTRY'!M51,0)),0)</f>
        <v>4064</v>
      </c>
      <c r="K48" s="166">
        <f t="shared" si="38"/>
        <v>63500</v>
      </c>
      <c r="L48" s="166">
        <f t="shared" ca="1" si="39"/>
        <v>-2400</v>
      </c>
      <c r="M48" s="166">
        <f t="shared" ca="1" si="40"/>
        <v>-408</v>
      </c>
      <c r="N48" s="166">
        <f t="shared" ca="1" si="41"/>
        <v>-192</v>
      </c>
      <c r="O48" s="166">
        <f t="shared" ca="1" si="42"/>
        <v>-3000</v>
      </c>
      <c r="P48" s="385"/>
      <c r="Q48" s="385"/>
      <c r="R48" s="166">
        <f t="shared" si="43"/>
        <v>0</v>
      </c>
      <c r="S48" s="177"/>
      <c r="T48" s="177"/>
      <c r="U48" s="166">
        <f t="shared" si="44"/>
        <v>0</v>
      </c>
      <c r="V48" s="177"/>
      <c r="W48" s="177"/>
      <c r="X48" s="166">
        <f t="shared" si="45"/>
        <v>0</v>
      </c>
      <c r="Y48" s="177"/>
      <c r="Z48" s="177"/>
      <c r="AA48" s="166">
        <f t="shared" si="46"/>
        <v>0</v>
      </c>
      <c r="AB48" s="177"/>
      <c r="AC48" s="177"/>
      <c r="AD48" s="166">
        <f t="shared" si="47"/>
        <v>0</v>
      </c>
      <c r="AE48" s="177"/>
      <c r="AF48" s="165">
        <f t="shared" si="8"/>
        <v>0</v>
      </c>
      <c r="AG48" s="165">
        <f t="shared" ca="1" si="48"/>
        <v>-3000</v>
      </c>
      <c r="AH48" s="177"/>
      <c r="AI48" s="177"/>
      <c r="AJ48" s="168"/>
    </row>
    <row r="49" spans="1:36" x14ac:dyDescent="0.3">
      <c r="A49" s="206" t="str">
        <f t="shared" ca="1" si="12"/>
        <v/>
      </c>
      <c r="B49" s="165">
        <f>IF(control!A49="","",control!A49)</f>
        <v>41</v>
      </c>
      <c r="C49" s="165" t="str">
        <f>IF(control!C49="","",control!C49)</f>
        <v>Nov-22</v>
      </c>
      <c r="D49" s="165">
        <f ca="1">control!E49</f>
        <v>48400</v>
      </c>
      <c r="E49" s="165">
        <f ca="1">IFERROR(ROUND(D49*'DATA ENTRY'!F52,0),0)</f>
        <v>8228</v>
      </c>
      <c r="F49" s="165">
        <f ca="1">IFERROR(ROUND(D49*'DATA ENTRY'!G52,0),0)</f>
        <v>3872</v>
      </c>
      <c r="G49" s="166">
        <f t="shared" ca="1" si="37"/>
        <v>60500</v>
      </c>
      <c r="H49" s="165">
        <f>control!G49</f>
        <v>50800</v>
      </c>
      <c r="I49" s="165">
        <f>IFERROR(IF(MASTER!$I$14="Fix Pay",0,ROUND(H49*'DATA ENTRY'!L52,0)),0)</f>
        <v>8636</v>
      </c>
      <c r="J49" s="165">
        <f>IFERROR(IF(MASTER!$I$14="Fix Pay",0,ROUND(H49*'DATA ENTRY'!M52,0)),0)</f>
        <v>4064</v>
      </c>
      <c r="K49" s="166">
        <f t="shared" si="38"/>
        <v>63500</v>
      </c>
      <c r="L49" s="166">
        <f t="shared" ca="1" si="39"/>
        <v>-2400</v>
      </c>
      <c r="M49" s="166">
        <f t="shared" ca="1" si="40"/>
        <v>-408</v>
      </c>
      <c r="N49" s="166">
        <f t="shared" ca="1" si="41"/>
        <v>-192</v>
      </c>
      <c r="O49" s="166">
        <f t="shared" ca="1" si="42"/>
        <v>-3000</v>
      </c>
      <c r="P49" s="385"/>
      <c r="Q49" s="385"/>
      <c r="R49" s="166">
        <f t="shared" si="43"/>
        <v>0</v>
      </c>
      <c r="S49" s="177"/>
      <c r="T49" s="177"/>
      <c r="U49" s="166">
        <f t="shared" si="44"/>
        <v>0</v>
      </c>
      <c r="V49" s="177"/>
      <c r="W49" s="177"/>
      <c r="X49" s="166">
        <f t="shared" si="45"/>
        <v>0</v>
      </c>
      <c r="Y49" s="177"/>
      <c r="Z49" s="177"/>
      <c r="AA49" s="166">
        <f t="shared" si="46"/>
        <v>0</v>
      </c>
      <c r="AB49" s="177"/>
      <c r="AC49" s="177"/>
      <c r="AD49" s="166">
        <f t="shared" si="47"/>
        <v>0</v>
      </c>
      <c r="AE49" s="177"/>
      <c r="AF49" s="165">
        <f t="shared" si="8"/>
        <v>0</v>
      </c>
      <c r="AG49" s="165">
        <f t="shared" ca="1" si="48"/>
        <v>-3000</v>
      </c>
      <c r="AH49" s="177"/>
      <c r="AI49" s="177"/>
      <c r="AJ49" s="168"/>
    </row>
    <row r="50" spans="1:36" x14ac:dyDescent="0.3">
      <c r="A50" s="206" t="str">
        <f t="shared" ca="1" si="12"/>
        <v/>
      </c>
      <c r="B50" s="165">
        <f>IF(control!A50="","",control!A50)</f>
        <v>42</v>
      </c>
      <c r="C50" s="165" t="str">
        <f>IF(control!C50="","",control!C50)</f>
        <v>Dec-22</v>
      </c>
      <c r="D50" s="165">
        <f ca="1">control!E50</f>
        <v>48400</v>
      </c>
      <c r="E50" s="165">
        <f ca="1">IFERROR(ROUND(D50*'DATA ENTRY'!F53,0),0)</f>
        <v>8228</v>
      </c>
      <c r="F50" s="165">
        <f ca="1">IFERROR(ROUND(D50*'DATA ENTRY'!G53,0),0)</f>
        <v>3872</v>
      </c>
      <c r="G50" s="166">
        <f t="shared" ca="1" si="37"/>
        <v>60500</v>
      </c>
      <c r="H50" s="165">
        <f>control!G50</f>
        <v>50800</v>
      </c>
      <c r="I50" s="165">
        <f>IFERROR(IF(MASTER!$I$14="Fix Pay",0,ROUND(H50*'DATA ENTRY'!L53,0)),0)</f>
        <v>8636</v>
      </c>
      <c r="J50" s="165">
        <f>IFERROR(IF(MASTER!$I$14="Fix Pay",0,ROUND(H50*'DATA ENTRY'!M53,0)),0)</f>
        <v>4064</v>
      </c>
      <c r="K50" s="166">
        <f t="shared" si="38"/>
        <v>63500</v>
      </c>
      <c r="L50" s="166">
        <f t="shared" ca="1" si="39"/>
        <v>-2400</v>
      </c>
      <c r="M50" s="166">
        <f t="shared" ca="1" si="40"/>
        <v>-408</v>
      </c>
      <c r="N50" s="166">
        <f t="shared" ca="1" si="41"/>
        <v>-192</v>
      </c>
      <c r="O50" s="166">
        <f t="shared" ca="1" si="42"/>
        <v>-3000</v>
      </c>
      <c r="P50" s="385"/>
      <c r="Q50" s="385"/>
      <c r="R50" s="166">
        <f t="shared" si="43"/>
        <v>0</v>
      </c>
      <c r="S50" s="177"/>
      <c r="T50" s="177"/>
      <c r="U50" s="166">
        <f t="shared" si="44"/>
        <v>0</v>
      </c>
      <c r="V50" s="177"/>
      <c r="W50" s="177"/>
      <c r="X50" s="166">
        <f t="shared" si="45"/>
        <v>0</v>
      </c>
      <c r="Y50" s="177"/>
      <c r="Z50" s="177"/>
      <c r="AA50" s="166">
        <f t="shared" si="46"/>
        <v>0</v>
      </c>
      <c r="AB50" s="177"/>
      <c r="AC50" s="177"/>
      <c r="AD50" s="166">
        <f t="shared" si="47"/>
        <v>0</v>
      </c>
      <c r="AE50" s="177"/>
      <c r="AF50" s="165">
        <f t="shared" si="8"/>
        <v>0</v>
      </c>
      <c r="AG50" s="165">
        <f t="shared" ca="1" si="48"/>
        <v>-3000</v>
      </c>
      <c r="AH50" s="177"/>
      <c r="AI50" s="177"/>
      <c r="AJ50" s="168"/>
    </row>
    <row r="51" spans="1:36" x14ac:dyDescent="0.3">
      <c r="A51" s="206" t="str">
        <f t="shared" ca="1" si="12"/>
        <v/>
      </c>
      <c r="B51" s="165">
        <f>IF(control!A51="","",control!A51)</f>
        <v>43</v>
      </c>
      <c r="C51" s="165" t="str">
        <f>IF(control!C51="","",control!C51)</f>
        <v>Jan-23</v>
      </c>
      <c r="D51" s="165">
        <f ca="1">control!E51</f>
        <v>48400</v>
      </c>
      <c r="E51" s="165">
        <f ca="1">IFERROR(ROUND(D51*'DATA ENTRY'!F54,0),0)</f>
        <v>8228</v>
      </c>
      <c r="F51" s="165">
        <f ca="1">IFERROR(ROUND(D51*'DATA ENTRY'!G54,0),0)</f>
        <v>3872</v>
      </c>
      <c r="G51" s="166">
        <f t="shared" ca="1" si="37"/>
        <v>60500</v>
      </c>
      <c r="H51" s="165">
        <f>control!G51</f>
        <v>50800</v>
      </c>
      <c r="I51" s="165">
        <f>IFERROR(IF(MASTER!$I$14="Fix Pay",0,ROUND(H51*'DATA ENTRY'!L54,0)),0)</f>
        <v>8636</v>
      </c>
      <c r="J51" s="165">
        <f>IFERROR(IF(MASTER!$I$14="Fix Pay",0,ROUND(H51*'DATA ENTRY'!M54,0)),0)</f>
        <v>4064</v>
      </c>
      <c r="K51" s="166">
        <f t="shared" si="38"/>
        <v>63500</v>
      </c>
      <c r="L51" s="166">
        <f t="shared" ca="1" si="39"/>
        <v>-2400</v>
      </c>
      <c r="M51" s="166">
        <f t="shared" ca="1" si="40"/>
        <v>-408</v>
      </c>
      <c r="N51" s="166">
        <f t="shared" ca="1" si="41"/>
        <v>-192</v>
      </c>
      <c r="O51" s="166">
        <f t="shared" ca="1" si="42"/>
        <v>-3000</v>
      </c>
      <c r="P51" s="385"/>
      <c r="Q51" s="385"/>
      <c r="R51" s="166">
        <f t="shared" si="43"/>
        <v>0</v>
      </c>
      <c r="S51" s="177"/>
      <c r="T51" s="177"/>
      <c r="U51" s="166">
        <f t="shared" si="44"/>
        <v>0</v>
      </c>
      <c r="V51" s="177"/>
      <c r="W51" s="177"/>
      <c r="X51" s="166">
        <f t="shared" si="45"/>
        <v>0</v>
      </c>
      <c r="Y51" s="177"/>
      <c r="Z51" s="177"/>
      <c r="AA51" s="166">
        <f t="shared" si="46"/>
        <v>0</v>
      </c>
      <c r="AB51" s="177"/>
      <c r="AC51" s="177"/>
      <c r="AD51" s="166">
        <f t="shared" si="47"/>
        <v>0</v>
      </c>
      <c r="AE51" s="177"/>
      <c r="AF51" s="165">
        <f t="shared" si="8"/>
        <v>0</v>
      </c>
      <c r="AG51" s="165">
        <f t="shared" ca="1" si="48"/>
        <v>-3000</v>
      </c>
      <c r="AH51" s="177"/>
      <c r="AI51" s="177"/>
      <c r="AJ51" s="168"/>
    </row>
    <row r="52" spans="1:36" x14ac:dyDescent="0.3">
      <c r="A52" s="206" t="str">
        <f t="shared" si="12"/>
        <v>v</v>
      </c>
      <c r="B52" s="165" t="str">
        <f>IF(control!A52="","",control!A52)</f>
        <v/>
      </c>
      <c r="C52" s="165" t="str">
        <f>IF(control!C52="","",control!C52)</f>
        <v/>
      </c>
      <c r="D52" s="165" t="str">
        <f>control!E52</f>
        <v/>
      </c>
      <c r="E52" s="165">
        <f>IFERROR(ROUND(D52*'DATA ENTRY'!F55,0),0)</f>
        <v>0</v>
      </c>
      <c r="F52" s="165">
        <f>IFERROR(ROUND(D52*'DATA ENTRY'!G55,0),0)</f>
        <v>0</v>
      </c>
      <c r="G52" s="166">
        <f t="shared" si="37"/>
        <v>0</v>
      </c>
      <c r="H52" s="165" t="str">
        <f>control!G52</f>
        <v/>
      </c>
      <c r="I52" s="165">
        <f>IFERROR(IF(MASTER!$I$14="Fix Pay",0,ROUND(H52*'DATA ENTRY'!L55,0)),0)</f>
        <v>0</v>
      </c>
      <c r="J52" s="165">
        <f>IFERROR(IF(MASTER!$I$14="Fix Pay",0,ROUND(H52*'DATA ENTRY'!M55,0)),0)</f>
        <v>0</v>
      </c>
      <c r="K52" s="166">
        <f t="shared" si="38"/>
        <v>0</v>
      </c>
      <c r="L52" s="166">
        <f t="shared" si="39"/>
        <v>0</v>
      </c>
      <c r="M52" s="166">
        <f t="shared" si="40"/>
        <v>0</v>
      </c>
      <c r="N52" s="166">
        <f t="shared" si="41"/>
        <v>0</v>
      </c>
      <c r="O52" s="166">
        <f t="shared" si="42"/>
        <v>0</v>
      </c>
      <c r="P52" s="385"/>
      <c r="Q52" s="385"/>
      <c r="R52" s="166">
        <f t="shared" si="43"/>
        <v>0</v>
      </c>
      <c r="S52" s="177"/>
      <c r="T52" s="177"/>
      <c r="U52" s="166">
        <f t="shared" si="44"/>
        <v>0</v>
      </c>
      <c r="V52" s="177"/>
      <c r="W52" s="177"/>
      <c r="X52" s="166">
        <f t="shared" si="45"/>
        <v>0</v>
      </c>
      <c r="Y52" s="177"/>
      <c r="Z52" s="177"/>
      <c r="AA52" s="166">
        <f t="shared" si="46"/>
        <v>0</v>
      </c>
      <c r="AB52" s="177"/>
      <c r="AC52" s="177"/>
      <c r="AD52" s="166">
        <f t="shared" si="47"/>
        <v>0</v>
      </c>
      <c r="AE52" s="177"/>
      <c r="AF52" s="165">
        <f t="shared" si="8"/>
        <v>0</v>
      </c>
      <c r="AG52" s="165">
        <f t="shared" si="48"/>
        <v>0</v>
      </c>
      <c r="AH52" s="177"/>
      <c r="AI52" s="177"/>
      <c r="AJ52" s="168"/>
    </row>
    <row r="53" spans="1:36" x14ac:dyDescent="0.3">
      <c r="A53" s="206" t="str">
        <f t="shared" si="12"/>
        <v>v</v>
      </c>
      <c r="B53" s="165" t="str">
        <f>IF(control!A53="","",control!A53)</f>
        <v/>
      </c>
      <c r="C53" s="165" t="str">
        <f>IF(control!C53="","",control!C53)</f>
        <v/>
      </c>
      <c r="D53" s="165" t="str">
        <f>control!E53</f>
        <v/>
      </c>
      <c r="E53" s="165">
        <f>IFERROR(ROUND(D53*'DATA ENTRY'!F56,0),0)</f>
        <v>0</v>
      </c>
      <c r="F53" s="165">
        <f>IFERROR(ROUND(D53*'DATA ENTRY'!G56,0),0)</f>
        <v>0</v>
      </c>
      <c r="G53" s="166">
        <f t="shared" si="37"/>
        <v>0</v>
      </c>
      <c r="H53" s="165" t="str">
        <f>control!G53</f>
        <v/>
      </c>
      <c r="I53" s="165">
        <f>IFERROR(IF(MASTER!$I$14="Fix Pay",0,ROUND(H53*'DATA ENTRY'!L56,0)),0)</f>
        <v>0</v>
      </c>
      <c r="J53" s="165">
        <f>IFERROR(IF(MASTER!$I$14="Fix Pay",0,ROUND(H53*'DATA ENTRY'!M56,0)),0)</f>
        <v>0</v>
      </c>
      <c r="K53" s="166">
        <f t="shared" si="38"/>
        <v>0</v>
      </c>
      <c r="L53" s="166">
        <f t="shared" si="39"/>
        <v>0</v>
      </c>
      <c r="M53" s="166">
        <f t="shared" si="40"/>
        <v>0</v>
      </c>
      <c r="N53" s="166">
        <f t="shared" si="41"/>
        <v>0</v>
      </c>
      <c r="O53" s="166">
        <f t="shared" si="42"/>
        <v>0</v>
      </c>
      <c r="P53" s="385"/>
      <c r="Q53" s="385"/>
      <c r="R53" s="166">
        <f t="shared" si="43"/>
        <v>0</v>
      </c>
      <c r="S53" s="177"/>
      <c r="T53" s="177"/>
      <c r="U53" s="166">
        <f t="shared" si="44"/>
        <v>0</v>
      </c>
      <c r="V53" s="177"/>
      <c r="W53" s="177"/>
      <c r="X53" s="166">
        <f t="shared" si="45"/>
        <v>0</v>
      </c>
      <c r="Y53" s="177"/>
      <c r="Z53" s="177"/>
      <c r="AA53" s="166">
        <f t="shared" si="46"/>
        <v>0</v>
      </c>
      <c r="AB53" s="177"/>
      <c r="AC53" s="177"/>
      <c r="AD53" s="166">
        <f t="shared" si="47"/>
        <v>0</v>
      </c>
      <c r="AE53" s="177"/>
      <c r="AF53" s="165">
        <f t="shared" si="8"/>
        <v>0</v>
      </c>
      <c r="AG53" s="165">
        <f t="shared" si="48"/>
        <v>0</v>
      </c>
      <c r="AH53" s="177"/>
      <c r="AI53" s="177"/>
      <c r="AJ53" s="168"/>
    </row>
    <row r="54" spans="1:36" x14ac:dyDescent="0.3">
      <c r="A54" s="206" t="str">
        <f t="shared" si="12"/>
        <v>v</v>
      </c>
      <c r="B54" s="165" t="str">
        <f>IF(control!A54="","",control!A54)</f>
        <v/>
      </c>
      <c r="C54" s="165" t="str">
        <f>IF(control!C54="","",control!C54)</f>
        <v/>
      </c>
      <c r="D54" s="165" t="str">
        <f>control!E54</f>
        <v/>
      </c>
      <c r="E54" s="165">
        <f>IFERROR(ROUND(D54*'DATA ENTRY'!F57,0),0)</f>
        <v>0</v>
      </c>
      <c r="F54" s="165">
        <f>IFERROR(ROUND(D54*'DATA ENTRY'!G57,0),0)</f>
        <v>0</v>
      </c>
      <c r="G54" s="166">
        <f t="shared" si="37"/>
        <v>0</v>
      </c>
      <c r="H54" s="165" t="str">
        <f>control!G54</f>
        <v/>
      </c>
      <c r="I54" s="165">
        <f>IFERROR(IF(MASTER!$I$14="Fix Pay",0,ROUND(H54*'DATA ENTRY'!L57,0)),0)</f>
        <v>0</v>
      </c>
      <c r="J54" s="165">
        <f>IFERROR(IF(MASTER!$I$14="Fix Pay",0,ROUND(H54*'DATA ENTRY'!M57,0)),0)</f>
        <v>0</v>
      </c>
      <c r="K54" s="166">
        <f t="shared" si="38"/>
        <v>0</v>
      </c>
      <c r="L54" s="166">
        <f t="shared" si="39"/>
        <v>0</v>
      </c>
      <c r="M54" s="166">
        <f t="shared" si="40"/>
        <v>0</v>
      </c>
      <c r="N54" s="166">
        <f t="shared" si="41"/>
        <v>0</v>
      </c>
      <c r="O54" s="166">
        <f t="shared" si="42"/>
        <v>0</v>
      </c>
      <c r="P54" s="385"/>
      <c r="Q54" s="385"/>
      <c r="R54" s="166">
        <f t="shared" si="43"/>
        <v>0</v>
      </c>
      <c r="S54" s="177"/>
      <c r="T54" s="177"/>
      <c r="U54" s="166">
        <f t="shared" si="44"/>
        <v>0</v>
      </c>
      <c r="V54" s="177"/>
      <c r="W54" s="177"/>
      <c r="X54" s="166">
        <f t="shared" si="45"/>
        <v>0</v>
      </c>
      <c r="Y54" s="177"/>
      <c r="Z54" s="177"/>
      <c r="AA54" s="166">
        <f t="shared" si="46"/>
        <v>0</v>
      </c>
      <c r="AB54" s="177"/>
      <c r="AC54" s="177"/>
      <c r="AD54" s="166">
        <f t="shared" si="47"/>
        <v>0</v>
      </c>
      <c r="AE54" s="177"/>
      <c r="AF54" s="165">
        <f t="shared" si="8"/>
        <v>0</v>
      </c>
      <c r="AG54" s="165">
        <f t="shared" si="48"/>
        <v>0</v>
      </c>
      <c r="AH54" s="177"/>
      <c r="AI54" s="177"/>
      <c r="AJ54" s="168"/>
    </row>
    <row r="55" spans="1:36" x14ac:dyDescent="0.3">
      <c r="A55" s="206" t="str">
        <f t="shared" si="12"/>
        <v>v</v>
      </c>
      <c r="B55" s="165" t="str">
        <f>IF(control!A55="","",control!A55)</f>
        <v/>
      </c>
      <c r="C55" s="165" t="str">
        <f>IF(control!C55="","",control!C55)</f>
        <v/>
      </c>
      <c r="D55" s="165" t="str">
        <f>control!E55</f>
        <v/>
      </c>
      <c r="E55" s="165">
        <f>IFERROR(ROUND(D55*'DATA ENTRY'!F58,0),0)</f>
        <v>0</v>
      </c>
      <c r="F55" s="165">
        <f>IFERROR(ROUND(D55*'DATA ENTRY'!G58,0),0)</f>
        <v>0</v>
      </c>
      <c r="G55" s="166">
        <f t="shared" si="37"/>
        <v>0</v>
      </c>
      <c r="H55" s="165" t="str">
        <f>control!G55</f>
        <v/>
      </c>
      <c r="I55" s="165">
        <f>IFERROR(IF(MASTER!$I$14="Fix Pay",0,ROUND(H55*'DATA ENTRY'!L58,0)),0)</f>
        <v>0</v>
      </c>
      <c r="J55" s="165">
        <f>IFERROR(IF(MASTER!$I$14="Fix Pay",0,ROUND(H55*'DATA ENTRY'!M58,0)),0)</f>
        <v>0</v>
      </c>
      <c r="K55" s="166">
        <f t="shared" si="38"/>
        <v>0</v>
      </c>
      <c r="L55" s="166">
        <f t="shared" si="39"/>
        <v>0</v>
      </c>
      <c r="M55" s="166">
        <f t="shared" si="40"/>
        <v>0</v>
      </c>
      <c r="N55" s="166">
        <f t="shared" si="41"/>
        <v>0</v>
      </c>
      <c r="O55" s="166">
        <f t="shared" si="42"/>
        <v>0</v>
      </c>
      <c r="P55" s="385"/>
      <c r="Q55" s="385"/>
      <c r="R55" s="166">
        <f t="shared" si="43"/>
        <v>0</v>
      </c>
      <c r="S55" s="177"/>
      <c r="T55" s="177"/>
      <c r="U55" s="166">
        <f t="shared" si="44"/>
        <v>0</v>
      </c>
      <c r="V55" s="177"/>
      <c r="W55" s="177"/>
      <c r="X55" s="166">
        <f t="shared" si="45"/>
        <v>0</v>
      </c>
      <c r="Y55" s="177"/>
      <c r="Z55" s="177"/>
      <c r="AA55" s="166">
        <f t="shared" si="46"/>
        <v>0</v>
      </c>
      <c r="AB55" s="177"/>
      <c r="AC55" s="177"/>
      <c r="AD55" s="166">
        <f t="shared" si="47"/>
        <v>0</v>
      </c>
      <c r="AE55" s="177"/>
      <c r="AF55" s="165">
        <f t="shared" si="8"/>
        <v>0</v>
      </c>
      <c r="AG55" s="165">
        <f t="shared" si="48"/>
        <v>0</v>
      </c>
      <c r="AH55" s="177"/>
      <c r="AI55" s="177"/>
      <c r="AJ55" s="168"/>
    </row>
    <row r="56" spans="1:36" x14ac:dyDescent="0.3">
      <c r="A56" s="206" t="str">
        <f t="shared" si="12"/>
        <v>v</v>
      </c>
      <c r="B56" s="165" t="str">
        <f>IF(control!A56="","",control!A56)</f>
        <v/>
      </c>
      <c r="C56" s="165" t="str">
        <f>IF(control!C56="","",control!C56)</f>
        <v/>
      </c>
      <c r="D56" s="165" t="str">
        <f>control!E56</f>
        <v/>
      </c>
      <c r="E56" s="165">
        <f>IFERROR(ROUND(D56*'DATA ENTRY'!F59,0),0)</f>
        <v>0</v>
      </c>
      <c r="F56" s="165">
        <f>IFERROR(ROUND(D56*'DATA ENTRY'!G59,0),0)</f>
        <v>0</v>
      </c>
      <c r="G56" s="166">
        <f t="shared" si="37"/>
        <v>0</v>
      </c>
      <c r="H56" s="165" t="str">
        <f>control!G56</f>
        <v/>
      </c>
      <c r="I56" s="165">
        <f>IFERROR(IF(MASTER!$I$14="Fix Pay",0,ROUND(H56*'DATA ENTRY'!L59,0)),0)</f>
        <v>0</v>
      </c>
      <c r="J56" s="165">
        <f>IFERROR(IF(MASTER!$I$14="Fix Pay",0,ROUND(H56*'DATA ENTRY'!M59,0)),0)</f>
        <v>0</v>
      </c>
      <c r="K56" s="166">
        <f t="shared" si="38"/>
        <v>0</v>
      </c>
      <c r="L56" s="166">
        <f t="shared" si="39"/>
        <v>0</v>
      </c>
      <c r="M56" s="166">
        <f t="shared" si="40"/>
        <v>0</v>
      </c>
      <c r="N56" s="166">
        <f t="shared" si="41"/>
        <v>0</v>
      </c>
      <c r="O56" s="166">
        <f t="shared" si="42"/>
        <v>0</v>
      </c>
      <c r="P56" s="385"/>
      <c r="Q56" s="385"/>
      <c r="R56" s="166">
        <f t="shared" si="43"/>
        <v>0</v>
      </c>
      <c r="S56" s="177"/>
      <c r="T56" s="177"/>
      <c r="U56" s="166">
        <f t="shared" si="44"/>
        <v>0</v>
      </c>
      <c r="V56" s="177"/>
      <c r="W56" s="177"/>
      <c r="X56" s="166">
        <f t="shared" si="45"/>
        <v>0</v>
      </c>
      <c r="Y56" s="177"/>
      <c r="Z56" s="177"/>
      <c r="AA56" s="166">
        <f t="shared" si="46"/>
        <v>0</v>
      </c>
      <c r="AB56" s="177"/>
      <c r="AC56" s="177"/>
      <c r="AD56" s="166">
        <f t="shared" si="47"/>
        <v>0</v>
      </c>
      <c r="AE56" s="177"/>
      <c r="AF56" s="165">
        <f t="shared" si="8"/>
        <v>0</v>
      </c>
      <c r="AG56" s="165">
        <f t="shared" si="48"/>
        <v>0</v>
      </c>
      <c r="AH56" s="177"/>
      <c r="AI56" s="177"/>
      <c r="AJ56" s="168"/>
    </row>
    <row r="57" spans="1:36" x14ac:dyDescent="0.3">
      <c r="A57" s="206" t="str">
        <f t="shared" si="12"/>
        <v>v</v>
      </c>
      <c r="B57" s="165" t="str">
        <f>IF(control!A57="","",control!A57)</f>
        <v/>
      </c>
      <c r="C57" s="165" t="str">
        <f>IF(control!C57="","",control!C57)</f>
        <v/>
      </c>
      <c r="D57" s="165" t="str">
        <f>control!E57</f>
        <v/>
      </c>
      <c r="E57" s="165">
        <f>IFERROR(ROUND(D57*'DATA ENTRY'!F60,0),0)</f>
        <v>0</v>
      </c>
      <c r="F57" s="165">
        <f>IFERROR(ROUND(D57*'DATA ENTRY'!G60,0),0)</f>
        <v>0</v>
      </c>
      <c r="G57" s="166">
        <f t="shared" ref="G57:G68" si="49">IFERROR(D57+E57+F57,0)</f>
        <v>0</v>
      </c>
      <c r="H57" s="165" t="str">
        <f>control!G57</f>
        <v/>
      </c>
      <c r="I57" s="165">
        <f>IFERROR(IF(MASTER!$I$14="Fix Pay",0,ROUND(H57*'DATA ENTRY'!L60,0)),0)</f>
        <v>0</v>
      </c>
      <c r="J57" s="165">
        <f>IFERROR(IF(MASTER!$I$14="Fix Pay",0,ROUND(H57*'DATA ENTRY'!M60,0)),0)</f>
        <v>0</v>
      </c>
      <c r="K57" s="166">
        <f t="shared" ref="K57:K68" si="50">IFERROR(H57+I57+J57,0)</f>
        <v>0</v>
      </c>
      <c r="L57" s="166">
        <f t="shared" ref="L57:L68" si="51">IFERROR(D57-H57,0)</f>
        <v>0</v>
      </c>
      <c r="M57" s="166">
        <f t="shared" ref="M57:M68" si="52">IFERROR(E57-I57,0)</f>
        <v>0</v>
      </c>
      <c r="N57" s="166">
        <f t="shared" ref="N57:N68" si="53">IFERROR(F57-J57,0)</f>
        <v>0</v>
      </c>
      <c r="O57" s="166">
        <f t="shared" ref="O57:O68" si="54">IFERROR(L57+M57+N57,0)</f>
        <v>0</v>
      </c>
      <c r="P57" s="385"/>
      <c r="Q57" s="385"/>
      <c r="R57" s="166">
        <f t="shared" ref="R57:R68" si="55">IFERROR(P57-Q57,0)</f>
        <v>0</v>
      </c>
      <c r="S57" s="177"/>
      <c r="T57" s="177"/>
      <c r="U57" s="166">
        <f t="shared" ref="U57:U68" si="56">IFERROR(S57-T57,0)</f>
        <v>0</v>
      </c>
      <c r="V57" s="177"/>
      <c r="W57" s="177"/>
      <c r="X57" s="166">
        <f t="shared" ref="X57:X68" si="57">IFERROR(V57-W57,0)</f>
        <v>0</v>
      </c>
      <c r="Y57" s="177"/>
      <c r="Z57" s="177"/>
      <c r="AA57" s="166">
        <f t="shared" ref="AA57:AA68" si="58">IFERROR(Y57-Z57,0)</f>
        <v>0</v>
      </c>
      <c r="AB57" s="177"/>
      <c r="AC57" s="177"/>
      <c r="AD57" s="166">
        <f t="shared" ref="AD57:AD67" si="59">IFERROR(AB57-AC57,0)</f>
        <v>0</v>
      </c>
      <c r="AE57" s="177"/>
      <c r="AF57" s="165">
        <f t="shared" ref="AF57:AF68" si="60">R57+U57+X57+AA57+AD57+AE57</f>
        <v>0</v>
      </c>
      <c r="AG57" s="165">
        <f t="shared" ref="AG57:AG68" si="61">O57-AF57</f>
        <v>0</v>
      </c>
      <c r="AH57" s="177"/>
      <c r="AI57" s="177"/>
      <c r="AJ57" s="168"/>
    </row>
    <row r="58" spans="1:36" x14ac:dyDescent="0.3">
      <c r="A58" s="206" t="str">
        <f t="shared" si="12"/>
        <v>v</v>
      </c>
      <c r="B58" s="165" t="str">
        <f>IF(control!A58="","",control!A58)</f>
        <v/>
      </c>
      <c r="C58" s="165" t="str">
        <f>IF(control!C58="","",control!C58)</f>
        <v/>
      </c>
      <c r="D58" s="165" t="str">
        <f>control!E58</f>
        <v/>
      </c>
      <c r="E58" s="165">
        <f>IFERROR(ROUND(D58*'DATA ENTRY'!F61,0),0)</f>
        <v>0</v>
      </c>
      <c r="F58" s="165">
        <f>IFERROR(ROUND(D58*'DATA ENTRY'!G61,0),0)</f>
        <v>0</v>
      </c>
      <c r="G58" s="166">
        <f t="shared" si="49"/>
        <v>0</v>
      </c>
      <c r="H58" s="165" t="str">
        <f>control!G58</f>
        <v/>
      </c>
      <c r="I58" s="165">
        <f>IFERROR(IF(MASTER!$I$14="Fix Pay",0,ROUND(H58*'DATA ENTRY'!L61,0)),0)</f>
        <v>0</v>
      </c>
      <c r="J58" s="165">
        <f>IFERROR(IF(MASTER!$I$14="Fix Pay",0,ROUND(H58*'DATA ENTRY'!M61,0)),0)</f>
        <v>0</v>
      </c>
      <c r="K58" s="166">
        <f t="shared" si="50"/>
        <v>0</v>
      </c>
      <c r="L58" s="166">
        <f t="shared" si="51"/>
        <v>0</v>
      </c>
      <c r="M58" s="166">
        <f t="shared" si="52"/>
        <v>0</v>
      </c>
      <c r="N58" s="166">
        <f t="shared" si="53"/>
        <v>0</v>
      </c>
      <c r="O58" s="166">
        <f t="shared" si="54"/>
        <v>0</v>
      </c>
      <c r="P58" s="385"/>
      <c r="Q58" s="385"/>
      <c r="R58" s="166">
        <f t="shared" si="55"/>
        <v>0</v>
      </c>
      <c r="S58" s="177"/>
      <c r="T58" s="177"/>
      <c r="U58" s="166">
        <f t="shared" si="56"/>
        <v>0</v>
      </c>
      <c r="V58" s="177"/>
      <c r="W58" s="177"/>
      <c r="X58" s="166">
        <f t="shared" si="57"/>
        <v>0</v>
      </c>
      <c r="Y58" s="177"/>
      <c r="Z58" s="177"/>
      <c r="AA58" s="166">
        <f t="shared" si="58"/>
        <v>0</v>
      </c>
      <c r="AB58" s="177"/>
      <c r="AC58" s="177"/>
      <c r="AD58" s="166">
        <f t="shared" si="59"/>
        <v>0</v>
      </c>
      <c r="AE58" s="177"/>
      <c r="AF58" s="165">
        <f t="shared" si="60"/>
        <v>0</v>
      </c>
      <c r="AG58" s="165">
        <f t="shared" si="61"/>
        <v>0</v>
      </c>
      <c r="AH58" s="177"/>
      <c r="AI58" s="177"/>
      <c r="AJ58" s="168"/>
    </row>
    <row r="59" spans="1:36" x14ac:dyDescent="0.3">
      <c r="A59" s="206" t="str">
        <f t="shared" si="12"/>
        <v>v</v>
      </c>
      <c r="B59" s="165" t="str">
        <f>IF(control!A59="","",control!A59)</f>
        <v/>
      </c>
      <c r="C59" s="165" t="str">
        <f>IF(control!C59="","",control!C59)</f>
        <v/>
      </c>
      <c r="D59" s="165" t="str">
        <f>control!E59</f>
        <v/>
      </c>
      <c r="E59" s="165">
        <f>IFERROR(ROUND(D59*'DATA ENTRY'!F62,0),0)</f>
        <v>0</v>
      </c>
      <c r="F59" s="165">
        <f>IFERROR(ROUND(D59*'DATA ENTRY'!G62,0),0)</f>
        <v>0</v>
      </c>
      <c r="G59" s="166">
        <f t="shared" si="49"/>
        <v>0</v>
      </c>
      <c r="H59" s="165" t="str">
        <f>control!G59</f>
        <v/>
      </c>
      <c r="I59" s="165">
        <f>IFERROR(IF(MASTER!$I$14="Fix Pay",0,ROUND(H59*'DATA ENTRY'!L62,0)),0)</f>
        <v>0</v>
      </c>
      <c r="J59" s="165">
        <f>IFERROR(IF(MASTER!$I$14="Fix Pay",0,ROUND(H59*'DATA ENTRY'!M62,0)),0)</f>
        <v>0</v>
      </c>
      <c r="K59" s="166">
        <f t="shared" si="50"/>
        <v>0</v>
      </c>
      <c r="L59" s="166">
        <f t="shared" si="51"/>
        <v>0</v>
      </c>
      <c r="M59" s="166">
        <f t="shared" si="52"/>
        <v>0</v>
      </c>
      <c r="N59" s="166">
        <f t="shared" si="53"/>
        <v>0</v>
      </c>
      <c r="O59" s="166">
        <f t="shared" si="54"/>
        <v>0</v>
      </c>
      <c r="P59" s="385"/>
      <c r="Q59" s="385"/>
      <c r="R59" s="166">
        <f t="shared" si="55"/>
        <v>0</v>
      </c>
      <c r="S59" s="177"/>
      <c r="T59" s="177"/>
      <c r="U59" s="166">
        <f t="shared" si="56"/>
        <v>0</v>
      </c>
      <c r="V59" s="177"/>
      <c r="W59" s="177"/>
      <c r="X59" s="166">
        <f t="shared" si="57"/>
        <v>0</v>
      </c>
      <c r="Y59" s="177"/>
      <c r="Z59" s="177"/>
      <c r="AA59" s="166">
        <f t="shared" si="58"/>
        <v>0</v>
      </c>
      <c r="AB59" s="177"/>
      <c r="AC59" s="177"/>
      <c r="AD59" s="166">
        <f t="shared" si="59"/>
        <v>0</v>
      </c>
      <c r="AE59" s="177"/>
      <c r="AF59" s="165">
        <f t="shared" si="60"/>
        <v>0</v>
      </c>
      <c r="AG59" s="165">
        <f t="shared" si="61"/>
        <v>0</v>
      </c>
      <c r="AH59" s="177"/>
      <c r="AI59" s="177"/>
      <c r="AJ59" s="168"/>
    </row>
    <row r="60" spans="1:36" x14ac:dyDescent="0.3">
      <c r="A60" s="206" t="str">
        <f t="shared" si="12"/>
        <v>v</v>
      </c>
      <c r="B60" s="165" t="str">
        <f>IF(control!A60="","",control!A60)</f>
        <v/>
      </c>
      <c r="C60" s="165" t="str">
        <f>IF(control!C60="","",control!C60)</f>
        <v/>
      </c>
      <c r="D60" s="165" t="str">
        <f>control!E60</f>
        <v/>
      </c>
      <c r="E60" s="165">
        <f>IFERROR(ROUND(D60*'DATA ENTRY'!F63,0),0)</f>
        <v>0</v>
      </c>
      <c r="F60" s="165">
        <f>IFERROR(ROUND(D60*'DATA ENTRY'!G63,0),0)</f>
        <v>0</v>
      </c>
      <c r="G60" s="166">
        <f t="shared" si="49"/>
        <v>0</v>
      </c>
      <c r="H60" s="165" t="str">
        <f>control!G60</f>
        <v/>
      </c>
      <c r="I60" s="165">
        <f>IFERROR(IF(MASTER!$I$14="Fix Pay",0,ROUND(H60*'DATA ENTRY'!L63,0)),0)</f>
        <v>0</v>
      </c>
      <c r="J60" s="165">
        <f>IFERROR(IF(MASTER!$I$14="Fix Pay",0,ROUND(H60*'DATA ENTRY'!M63,0)),0)</f>
        <v>0</v>
      </c>
      <c r="K60" s="166">
        <f t="shared" si="50"/>
        <v>0</v>
      </c>
      <c r="L60" s="166">
        <f t="shared" si="51"/>
        <v>0</v>
      </c>
      <c r="M60" s="166">
        <f t="shared" si="52"/>
        <v>0</v>
      </c>
      <c r="N60" s="166">
        <f t="shared" si="53"/>
        <v>0</v>
      </c>
      <c r="O60" s="166">
        <f t="shared" si="54"/>
        <v>0</v>
      </c>
      <c r="P60" s="385"/>
      <c r="Q60" s="385"/>
      <c r="R60" s="166">
        <f t="shared" si="55"/>
        <v>0</v>
      </c>
      <c r="S60" s="177"/>
      <c r="T60" s="177"/>
      <c r="U60" s="166">
        <f t="shared" si="56"/>
        <v>0</v>
      </c>
      <c r="V60" s="177"/>
      <c r="W60" s="177"/>
      <c r="X60" s="166">
        <f t="shared" si="57"/>
        <v>0</v>
      </c>
      <c r="Y60" s="177"/>
      <c r="Z60" s="177"/>
      <c r="AA60" s="166">
        <f t="shared" si="58"/>
        <v>0</v>
      </c>
      <c r="AB60" s="177"/>
      <c r="AC60" s="177"/>
      <c r="AD60" s="166">
        <f t="shared" si="59"/>
        <v>0</v>
      </c>
      <c r="AE60" s="177"/>
      <c r="AF60" s="165">
        <f t="shared" si="60"/>
        <v>0</v>
      </c>
      <c r="AG60" s="165">
        <f t="shared" si="61"/>
        <v>0</v>
      </c>
      <c r="AH60" s="177"/>
      <c r="AI60" s="177"/>
      <c r="AJ60" s="168"/>
    </row>
    <row r="61" spans="1:36" x14ac:dyDescent="0.3">
      <c r="A61" s="206" t="str">
        <f t="shared" si="12"/>
        <v>v</v>
      </c>
      <c r="B61" s="165" t="str">
        <f>IF(control!A61="","",control!A61)</f>
        <v/>
      </c>
      <c r="C61" s="165" t="str">
        <f>IF(control!C61="","",control!C61)</f>
        <v/>
      </c>
      <c r="D61" s="165" t="str">
        <f>control!E61</f>
        <v/>
      </c>
      <c r="E61" s="165">
        <f>IFERROR(ROUND(D61*'DATA ENTRY'!F64,0),0)</f>
        <v>0</v>
      </c>
      <c r="F61" s="165">
        <f>IFERROR(ROUND(D61*'DATA ENTRY'!G64,0),0)</f>
        <v>0</v>
      </c>
      <c r="G61" s="166">
        <f t="shared" si="49"/>
        <v>0</v>
      </c>
      <c r="H61" s="165" t="str">
        <f>control!G61</f>
        <v/>
      </c>
      <c r="I61" s="165">
        <f>IFERROR(IF(MASTER!$I$14="Fix Pay",0,ROUND(H61*'DATA ENTRY'!L64,0)),0)</f>
        <v>0</v>
      </c>
      <c r="J61" s="165">
        <f>IFERROR(IF(MASTER!$I$14="Fix Pay",0,ROUND(H61*'DATA ENTRY'!M64,0)),0)</f>
        <v>0</v>
      </c>
      <c r="K61" s="166">
        <f t="shared" si="50"/>
        <v>0</v>
      </c>
      <c r="L61" s="166">
        <f t="shared" si="51"/>
        <v>0</v>
      </c>
      <c r="M61" s="166">
        <f t="shared" si="52"/>
        <v>0</v>
      </c>
      <c r="N61" s="166">
        <f t="shared" si="53"/>
        <v>0</v>
      </c>
      <c r="O61" s="166">
        <f t="shared" si="54"/>
        <v>0</v>
      </c>
      <c r="P61" s="385"/>
      <c r="Q61" s="385"/>
      <c r="R61" s="166">
        <f t="shared" si="55"/>
        <v>0</v>
      </c>
      <c r="S61" s="177"/>
      <c r="T61" s="177"/>
      <c r="U61" s="166">
        <f t="shared" si="56"/>
        <v>0</v>
      </c>
      <c r="V61" s="177"/>
      <c r="W61" s="177"/>
      <c r="X61" s="166">
        <f t="shared" si="57"/>
        <v>0</v>
      </c>
      <c r="Y61" s="177"/>
      <c r="Z61" s="177"/>
      <c r="AA61" s="166">
        <f t="shared" si="58"/>
        <v>0</v>
      </c>
      <c r="AB61" s="177"/>
      <c r="AC61" s="177"/>
      <c r="AD61" s="166">
        <f t="shared" si="59"/>
        <v>0</v>
      </c>
      <c r="AE61" s="177"/>
      <c r="AF61" s="165">
        <f t="shared" si="60"/>
        <v>0</v>
      </c>
      <c r="AG61" s="165">
        <f t="shared" si="61"/>
        <v>0</v>
      </c>
      <c r="AH61" s="177"/>
      <c r="AI61" s="177"/>
      <c r="AJ61" s="168"/>
    </row>
    <row r="62" spans="1:36" x14ac:dyDescent="0.3">
      <c r="A62" s="206" t="str">
        <f t="shared" si="12"/>
        <v>v</v>
      </c>
      <c r="B62" s="165" t="str">
        <f>IF(control!A62="","",control!A62)</f>
        <v/>
      </c>
      <c r="C62" s="165" t="str">
        <f>IF(control!C62="","",control!C62)</f>
        <v/>
      </c>
      <c r="D62" s="165" t="str">
        <f>control!E62</f>
        <v/>
      </c>
      <c r="E62" s="165">
        <f>IFERROR(ROUND(D62*'DATA ENTRY'!F65,0),0)</f>
        <v>0</v>
      </c>
      <c r="F62" s="165">
        <f>IFERROR(ROUND(D62*'DATA ENTRY'!G65,0),0)</f>
        <v>0</v>
      </c>
      <c r="G62" s="166">
        <f t="shared" si="49"/>
        <v>0</v>
      </c>
      <c r="H62" s="165" t="str">
        <f>control!G62</f>
        <v/>
      </c>
      <c r="I62" s="165">
        <f>IFERROR(IF(MASTER!$I$14="Fix Pay",0,ROUND(H62*'DATA ENTRY'!L65,0)),0)</f>
        <v>0</v>
      </c>
      <c r="J62" s="165">
        <f>IFERROR(IF(MASTER!$I$14="Fix Pay",0,ROUND(H62*'DATA ENTRY'!M65,0)),0)</f>
        <v>0</v>
      </c>
      <c r="K62" s="166">
        <f t="shared" si="50"/>
        <v>0</v>
      </c>
      <c r="L62" s="166">
        <f t="shared" si="51"/>
        <v>0</v>
      </c>
      <c r="M62" s="166">
        <f t="shared" si="52"/>
        <v>0</v>
      </c>
      <c r="N62" s="166">
        <f t="shared" si="53"/>
        <v>0</v>
      </c>
      <c r="O62" s="166">
        <f t="shared" si="54"/>
        <v>0</v>
      </c>
      <c r="P62" s="385"/>
      <c r="Q62" s="385"/>
      <c r="R62" s="166">
        <f t="shared" si="55"/>
        <v>0</v>
      </c>
      <c r="S62" s="177"/>
      <c r="T62" s="177"/>
      <c r="U62" s="166">
        <f t="shared" si="56"/>
        <v>0</v>
      </c>
      <c r="V62" s="177"/>
      <c r="W62" s="177"/>
      <c r="X62" s="166">
        <f t="shared" si="57"/>
        <v>0</v>
      </c>
      <c r="Y62" s="177"/>
      <c r="Z62" s="177"/>
      <c r="AA62" s="166">
        <f t="shared" si="58"/>
        <v>0</v>
      </c>
      <c r="AB62" s="177"/>
      <c r="AC62" s="177"/>
      <c r="AD62" s="166">
        <f t="shared" si="59"/>
        <v>0</v>
      </c>
      <c r="AE62" s="177"/>
      <c r="AF62" s="165">
        <f t="shared" si="60"/>
        <v>0</v>
      </c>
      <c r="AG62" s="165">
        <f t="shared" si="61"/>
        <v>0</v>
      </c>
      <c r="AH62" s="177"/>
      <c r="AI62" s="177"/>
      <c r="AJ62" s="168"/>
    </row>
    <row r="63" spans="1:36" x14ac:dyDescent="0.3">
      <c r="A63" s="206" t="str">
        <f t="shared" si="12"/>
        <v>v</v>
      </c>
      <c r="B63" s="165" t="str">
        <f>IF(control!A63="","",control!A63)</f>
        <v/>
      </c>
      <c r="C63" s="165" t="str">
        <f>IF(control!C63="","",control!C63)</f>
        <v/>
      </c>
      <c r="D63" s="165" t="str">
        <f>control!E63</f>
        <v/>
      </c>
      <c r="E63" s="165">
        <f>IFERROR(ROUND(D63*'DATA ENTRY'!F66,0),0)</f>
        <v>0</v>
      </c>
      <c r="F63" s="165">
        <f>IFERROR(ROUND(D63*'DATA ENTRY'!G66,0),0)</f>
        <v>0</v>
      </c>
      <c r="G63" s="166">
        <f t="shared" si="49"/>
        <v>0</v>
      </c>
      <c r="H63" s="165" t="str">
        <f>control!G63</f>
        <v/>
      </c>
      <c r="I63" s="165">
        <f>IFERROR(IF(MASTER!$I$14="Fix Pay",0,ROUND(H63*'DATA ENTRY'!L66,0)),0)</f>
        <v>0</v>
      </c>
      <c r="J63" s="165">
        <f>IFERROR(IF(MASTER!$I$14="Fix Pay",0,ROUND(H63*'DATA ENTRY'!M66,0)),0)</f>
        <v>0</v>
      </c>
      <c r="K63" s="166">
        <f t="shared" si="50"/>
        <v>0</v>
      </c>
      <c r="L63" s="166">
        <f t="shared" si="51"/>
        <v>0</v>
      </c>
      <c r="M63" s="166">
        <f t="shared" si="52"/>
        <v>0</v>
      </c>
      <c r="N63" s="166">
        <f t="shared" si="53"/>
        <v>0</v>
      </c>
      <c r="O63" s="166">
        <f t="shared" si="54"/>
        <v>0</v>
      </c>
      <c r="P63" s="385"/>
      <c r="Q63" s="385"/>
      <c r="R63" s="166">
        <f t="shared" si="55"/>
        <v>0</v>
      </c>
      <c r="S63" s="177"/>
      <c r="T63" s="177"/>
      <c r="U63" s="166">
        <f t="shared" si="56"/>
        <v>0</v>
      </c>
      <c r="V63" s="177"/>
      <c r="W63" s="177"/>
      <c r="X63" s="166">
        <f t="shared" si="57"/>
        <v>0</v>
      </c>
      <c r="Y63" s="177"/>
      <c r="Z63" s="177"/>
      <c r="AA63" s="166">
        <f t="shared" si="58"/>
        <v>0</v>
      </c>
      <c r="AB63" s="177"/>
      <c r="AC63" s="177"/>
      <c r="AD63" s="166">
        <f t="shared" si="59"/>
        <v>0</v>
      </c>
      <c r="AE63" s="177"/>
      <c r="AF63" s="165">
        <f t="shared" si="60"/>
        <v>0</v>
      </c>
      <c r="AG63" s="165">
        <f t="shared" si="61"/>
        <v>0</v>
      </c>
      <c r="AH63" s="177"/>
      <c r="AI63" s="177"/>
      <c r="AJ63" s="168"/>
    </row>
    <row r="64" spans="1:36" x14ac:dyDescent="0.3">
      <c r="A64" s="206" t="str">
        <f t="shared" si="12"/>
        <v>v</v>
      </c>
      <c r="B64" s="165" t="str">
        <f>IF(control!A64="","",control!A64)</f>
        <v/>
      </c>
      <c r="C64" s="165" t="str">
        <f>IF(control!C64="","",control!C64)</f>
        <v/>
      </c>
      <c r="D64" s="165" t="str">
        <f>control!E64</f>
        <v/>
      </c>
      <c r="E64" s="165">
        <f>IFERROR(ROUND(D64*'DATA ENTRY'!F67,0),0)</f>
        <v>0</v>
      </c>
      <c r="F64" s="165">
        <f>IFERROR(ROUND(D64*'DATA ENTRY'!G67,0),0)</f>
        <v>0</v>
      </c>
      <c r="G64" s="166">
        <f t="shared" si="49"/>
        <v>0</v>
      </c>
      <c r="H64" s="165" t="str">
        <f>control!G64</f>
        <v/>
      </c>
      <c r="I64" s="165">
        <f>IFERROR(IF(MASTER!$I$14="Fix Pay",0,ROUND(H64*'DATA ENTRY'!L67,0)),0)</f>
        <v>0</v>
      </c>
      <c r="J64" s="165">
        <f>IFERROR(IF(MASTER!$I$14="Fix Pay",0,ROUND(H64*'DATA ENTRY'!M67,0)),0)</f>
        <v>0</v>
      </c>
      <c r="K64" s="166">
        <f t="shared" si="50"/>
        <v>0</v>
      </c>
      <c r="L64" s="166">
        <f t="shared" si="51"/>
        <v>0</v>
      </c>
      <c r="M64" s="166">
        <f t="shared" si="52"/>
        <v>0</v>
      </c>
      <c r="N64" s="166">
        <f t="shared" si="53"/>
        <v>0</v>
      </c>
      <c r="O64" s="166">
        <f t="shared" si="54"/>
        <v>0</v>
      </c>
      <c r="P64" s="385"/>
      <c r="Q64" s="385"/>
      <c r="R64" s="166">
        <f t="shared" si="55"/>
        <v>0</v>
      </c>
      <c r="S64" s="177"/>
      <c r="T64" s="177"/>
      <c r="U64" s="166">
        <f t="shared" si="56"/>
        <v>0</v>
      </c>
      <c r="V64" s="177"/>
      <c r="W64" s="177"/>
      <c r="X64" s="166">
        <f t="shared" si="57"/>
        <v>0</v>
      </c>
      <c r="Y64" s="177"/>
      <c r="Z64" s="177"/>
      <c r="AA64" s="166">
        <f t="shared" si="58"/>
        <v>0</v>
      </c>
      <c r="AB64" s="177"/>
      <c r="AC64" s="177"/>
      <c r="AD64" s="166">
        <f t="shared" si="59"/>
        <v>0</v>
      </c>
      <c r="AE64" s="177"/>
      <c r="AF64" s="165">
        <f t="shared" si="60"/>
        <v>0</v>
      </c>
      <c r="AG64" s="165">
        <f t="shared" si="61"/>
        <v>0</v>
      </c>
      <c r="AH64" s="177"/>
      <c r="AI64" s="177"/>
      <c r="AJ64" s="168"/>
    </row>
    <row r="65" spans="1:36" x14ac:dyDescent="0.3">
      <c r="A65" s="206" t="str">
        <f t="shared" si="12"/>
        <v>v</v>
      </c>
      <c r="B65" s="165" t="str">
        <f>IF(control!A65="","",control!A65)</f>
        <v/>
      </c>
      <c r="C65" s="165" t="str">
        <f>IF(control!C65="","",control!C65)</f>
        <v/>
      </c>
      <c r="D65" s="165" t="str">
        <f>control!E65</f>
        <v/>
      </c>
      <c r="E65" s="165">
        <f>IFERROR(ROUND(D65*'DATA ENTRY'!F68,0),0)</f>
        <v>0</v>
      </c>
      <c r="F65" s="165">
        <f>IFERROR(ROUND(D65*'DATA ENTRY'!G68,0),0)</f>
        <v>0</v>
      </c>
      <c r="G65" s="166">
        <f t="shared" si="49"/>
        <v>0</v>
      </c>
      <c r="H65" s="165" t="str">
        <f>control!G65</f>
        <v/>
      </c>
      <c r="I65" s="165">
        <f>IFERROR(IF(MASTER!$I$14="Fix Pay",0,ROUND(H65*'DATA ENTRY'!L68,0)),0)</f>
        <v>0</v>
      </c>
      <c r="J65" s="165">
        <f>IFERROR(IF(MASTER!$I$14="Fix Pay",0,ROUND(H65*'DATA ENTRY'!M68,0)),0)</f>
        <v>0</v>
      </c>
      <c r="K65" s="166">
        <f t="shared" si="50"/>
        <v>0</v>
      </c>
      <c r="L65" s="166">
        <f t="shared" si="51"/>
        <v>0</v>
      </c>
      <c r="M65" s="166">
        <f t="shared" si="52"/>
        <v>0</v>
      </c>
      <c r="N65" s="166">
        <f t="shared" si="53"/>
        <v>0</v>
      </c>
      <c r="O65" s="166">
        <f t="shared" si="54"/>
        <v>0</v>
      </c>
      <c r="P65" s="385"/>
      <c r="Q65" s="385"/>
      <c r="R65" s="166">
        <f t="shared" si="55"/>
        <v>0</v>
      </c>
      <c r="S65" s="177"/>
      <c r="T65" s="177"/>
      <c r="U65" s="166">
        <f t="shared" si="56"/>
        <v>0</v>
      </c>
      <c r="V65" s="177"/>
      <c r="W65" s="177"/>
      <c r="X65" s="166">
        <f t="shared" si="57"/>
        <v>0</v>
      </c>
      <c r="Y65" s="177"/>
      <c r="Z65" s="177"/>
      <c r="AA65" s="166">
        <f t="shared" si="58"/>
        <v>0</v>
      </c>
      <c r="AB65" s="177"/>
      <c r="AC65" s="177"/>
      <c r="AD65" s="166">
        <f t="shared" si="59"/>
        <v>0</v>
      </c>
      <c r="AE65" s="177"/>
      <c r="AF65" s="165">
        <f t="shared" si="60"/>
        <v>0</v>
      </c>
      <c r="AG65" s="165">
        <f t="shared" si="61"/>
        <v>0</v>
      </c>
      <c r="AH65" s="177"/>
      <c r="AI65" s="177"/>
      <c r="AJ65" s="168"/>
    </row>
    <row r="66" spans="1:36" x14ac:dyDescent="0.3">
      <c r="A66" s="206" t="str">
        <f t="shared" si="12"/>
        <v>v</v>
      </c>
      <c r="B66" s="165" t="str">
        <f>IF(control!A66="","",control!A66)</f>
        <v/>
      </c>
      <c r="C66" s="165" t="str">
        <f>IF(control!C66="","",control!C66)</f>
        <v/>
      </c>
      <c r="D66" s="165" t="str">
        <f>control!E66</f>
        <v/>
      </c>
      <c r="E66" s="165">
        <f>IFERROR(ROUND(D66*'DATA ENTRY'!F69,0),0)</f>
        <v>0</v>
      </c>
      <c r="F66" s="165">
        <f>IFERROR(ROUND(D66*'DATA ENTRY'!G69,0),0)</f>
        <v>0</v>
      </c>
      <c r="G66" s="166">
        <f t="shared" si="49"/>
        <v>0</v>
      </c>
      <c r="H66" s="165" t="str">
        <f>control!G66</f>
        <v/>
      </c>
      <c r="I66" s="165">
        <f>IFERROR(IF(MASTER!$I$14="Fix Pay",0,ROUND(H66*'DATA ENTRY'!L69,0)),0)</f>
        <v>0</v>
      </c>
      <c r="J66" s="165">
        <f>IFERROR(IF(MASTER!$I$14="Fix Pay",0,ROUND(H66*'DATA ENTRY'!M69,0)),0)</f>
        <v>0</v>
      </c>
      <c r="K66" s="166">
        <f t="shared" si="50"/>
        <v>0</v>
      </c>
      <c r="L66" s="166">
        <f t="shared" si="51"/>
        <v>0</v>
      </c>
      <c r="M66" s="166">
        <f t="shared" si="52"/>
        <v>0</v>
      </c>
      <c r="N66" s="166">
        <f t="shared" si="53"/>
        <v>0</v>
      </c>
      <c r="O66" s="166">
        <f t="shared" si="54"/>
        <v>0</v>
      </c>
      <c r="P66" s="385"/>
      <c r="Q66" s="385"/>
      <c r="R66" s="166">
        <f t="shared" si="55"/>
        <v>0</v>
      </c>
      <c r="S66" s="177"/>
      <c r="T66" s="177"/>
      <c r="U66" s="166">
        <f t="shared" si="56"/>
        <v>0</v>
      </c>
      <c r="V66" s="177"/>
      <c r="W66" s="177"/>
      <c r="X66" s="166">
        <f t="shared" si="57"/>
        <v>0</v>
      </c>
      <c r="Y66" s="177"/>
      <c r="Z66" s="177"/>
      <c r="AA66" s="166">
        <f t="shared" si="58"/>
        <v>0</v>
      </c>
      <c r="AB66" s="177"/>
      <c r="AC66" s="177"/>
      <c r="AD66" s="166">
        <f t="shared" si="59"/>
        <v>0</v>
      </c>
      <c r="AE66" s="177"/>
      <c r="AF66" s="165">
        <f t="shared" si="60"/>
        <v>0</v>
      </c>
      <c r="AG66" s="165">
        <f t="shared" si="61"/>
        <v>0</v>
      </c>
      <c r="AH66" s="177"/>
      <c r="AI66" s="177"/>
      <c r="AJ66" s="168"/>
    </row>
    <row r="67" spans="1:36" x14ac:dyDescent="0.3">
      <c r="A67" s="206" t="str">
        <f t="shared" si="12"/>
        <v>v</v>
      </c>
      <c r="B67" s="165" t="str">
        <f>IF(control!A67="","",control!A67)</f>
        <v/>
      </c>
      <c r="C67" s="165" t="str">
        <f>IF(control!C67="","",control!C67)</f>
        <v/>
      </c>
      <c r="D67" s="165" t="str">
        <f>control!E67</f>
        <v/>
      </c>
      <c r="E67" s="165">
        <f>IFERROR(ROUND(D67*'DATA ENTRY'!F70,0),0)</f>
        <v>0</v>
      </c>
      <c r="F67" s="165">
        <f>IFERROR(ROUND(D67*'DATA ENTRY'!G70,0),0)</f>
        <v>0</v>
      </c>
      <c r="G67" s="166">
        <f t="shared" si="49"/>
        <v>0</v>
      </c>
      <c r="H67" s="165" t="str">
        <f>control!G67</f>
        <v/>
      </c>
      <c r="I67" s="165">
        <f>IFERROR(IF(MASTER!$I$14="Fix Pay",0,ROUND(H67*'DATA ENTRY'!L70,0)),0)</f>
        <v>0</v>
      </c>
      <c r="J67" s="165">
        <f>IFERROR(IF(MASTER!$I$14="Fix Pay",0,ROUND(H67*'DATA ENTRY'!M70,0)),0)</f>
        <v>0</v>
      </c>
      <c r="K67" s="166">
        <f t="shared" si="50"/>
        <v>0</v>
      </c>
      <c r="L67" s="166">
        <f t="shared" si="51"/>
        <v>0</v>
      </c>
      <c r="M67" s="166">
        <f t="shared" si="52"/>
        <v>0</v>
      </c>
      <c r="N67" s="166">
        <f t="shared" si="53"/>
        <v>0</v>
      </c>
      <c r="O67" s="166">
        <f t="shared" si="54"/>
        <v>0</v>
      </c>
      <c r="P67" s="385"/>
      <c r="Q67" s="385"/>
      <c r="R67" s="166">
        <f t="shared" si="55"/>
        <v>0</v>
      </c>
      <c r="S67" s="177"/>
      <c r="T67" s="177"/>
      <c r="U67" s="166">
        <f t="shared" si="56"/>
        <v>0</v>
      </c>
      <c r="V67" s="177"/>
      <c r="W67" s="177"/>
      <c r="X67" s="166">
        <f t="shared" si="57"/>
        <v>0</v>
      </c>
      <c r="Y67" s="177"/>
      <c r="Z67" s="177"/>
      <c r="AA67" s="166">
        <f t="shared" si="58"/>
        <v>0</v>
      </c>
      <c r="AB67" s="177"/>
      <c r="AC67" s="177"/>
      <c r="AD67" s="166">
        <f t="shared" si="59"/>
        <v>0</v>
      </c>
      <c r="AE67" s="177"/>
      <c r="AF67" s="165">
        <f t="shared" si="60"/>
        <v>0</v>
      </c>
      <c r="AG67" s="165">
        <f t="shared" si="61"/>
        <v>0</v>
      </c>
      <c r="AH67" s="177"/>
      <c r="AI67" s="177"/>
      <c r="AJ67" s="168"/>
    </row>
    <row r="68" spans="1:36" x14ac:dyDescent="0.3">
      <c r="A68" s="206" t="str">
        <f t="shared" si="12"/>
        <v>v</v>
      </c>
      <c r="B68" s="165" t="str">
        <f>IF(control!A68="","",control!A68)</f>
        <v/>
      </c>
      <c r="C68" s="165" t="str">
        <f>IF(control!C68="","",control!C68)</f>
        <v/>
      </c>
      <c r="D68" s="165" t="str">
        <f>control!E68</f>
        <v/>
      </c>
      <c r="E68" s="165">
        <f>IFERROR(ROUND(D68*'DATA ENTRY'!F71,0),0)</f>
        <v>0</v>
      </c>
      <c r="F68" s="165">
        <f>IFERROR(ROUND(D68*'DATA ENTRY'!G71,0),0)</f>
        <v>0</v>
      </c>
      <c r="G68" s="166">
        <f t="shared" si="49"/>
        <v>0</v>
      </c>
      <c r="H68" s="165" t="str">
        <f>control!G68</f>
        <v/>
      </c>
      <c r="I68" s="165">
        <f>IFERROR(IF(MASTER!$I$14="Fix Pay",0,ROUND(H68*'DATA ENTRY'!L71,0)),0)</f>
        <v>0</v>
      </c>
      <c r="J68" s="165">
        <f>IFERROR(IF(MASTER!$I$14="Fix Pay",0,ROUND(H68*'DATA ENTRY'!M71,0)),0)</f>
        <v>0</v>
      </c>
      <c r="K68" s="166">
        <f t="shared" si="50"/>
        <v>0</v>
      </c>
      <c r="L68" s="166">
        <f t="shared" si="51"/>
        <v>0</v>
      </c>
      <c r="M68" s="166">
        <f t="shared" si="52"/>
        <v>0</v>
      </c>
      <c r="N68" s="166">
        <f t="shared" si="53"/>
        <v>0</v>
      </c>
      <c r="O68" s="166">
        <f t="shared" si="54"/>
        <v>0</v>
      </c>
      <c r="P68" s="385"/>
      <c r="Q68" s="385"/>
      <c r="R68" s="166">
        <f t="shared" si="55"/>
        <v>0</v>
      </c>
      <c r="S68" s="177"/>
      <c r="T68" s="177"/>
      <c r="U68" s="166">
        <f t="shared" si="56"/>
        <v>0</v>
      </c>
      <c r="V68" s="177"/>
      <c r="W68" s="177"/>
      <c r="X68" s="166">
        <f t="shared" si="57"/>
        <v>0</v>
      </c>
      <c r="Y68" s="177"/>
      <c r="Z68" s="177"/>
      <c r="AA68" s="166">
        <f t="shared" si="58"/>
        <v>0</v>
      </c>
      <c r="AB68" s="177"/>
      <c r="AC68" s="177"/>
      <c r="AD68" s="166"/>
      <c r="AE68" s="177"/>
      <c r="AF68" s="165">
        <f t="shared" si="60"/>
        <v>0</v>
      </c>
      <c r="AG68" s="165">
        <f t="shared" si="61"/>
        <v>0</v>
      </c>
      <c r="AH68" s="177"/>
      <c r="AI68" s="177"/>
      <c r="AJ68" s="168"/>
    </row>
    <row r="69" spans="1:36" x14ac:dyDescent="0.3">
      <c r="A69" s="206" t="str">
        <f t="shared" ref="A69:A92" si="62">IF(D69="","v","")</f>
        <v>v</v>
      </c>
      <c r="B69" s="165" t="str">
        <f>IF(control!A69="","",control!A69)</f>
        <v/>
      </c>
      <c r="C69" s="165" t="str">
        <f>IF(control!C69="","",control!C69)</f>
        <v/>
      </c>
      <c r="D69" s="165" t="str">
        <f>control!E69</f>
        <v/>
      </c>
      <c r="E69" s="165">
        <f>IFERROR(ROUND(D69*'DATA ENTRY'!F72,0),0)</f>
        <v>0</v>
      </c>
      <c r="F69" s="165">
        <f>IFERROR(ROUND(D69*'DATA ENTRY'!G72,0),0)</f>
        <v>0</v>
      </c>
      <c r="G69" s="166">
        <f t="shared" ref="G69:G92" si="63">IFERROR(D69+E69+F69,0)</f>
        <v>0</v>
      </c>
      <c r="H69" s="165" t="str">
        <f>control!G69</f>
        <v/>
      </c>
      <c r="I69" s="165">
        <f>IFERROR(IF(MASTER!$I$14="Fix Pay",0,ROUND(H69*'DATA ENTRY'!L72,0)),0)</f>
        <v>0</v>
      </c>
      <c r="J69" s="165">
        <f>IFERROR(IF(MASTER!$I$14="Fix Pay",0,ROUND(H69*'DATA ENTRY'!M72,0)),0)</f>
        <v>0</v>
      </c>
      <c r="K69" s="166">
        <f t="shared" ref="K69:K92" si="64">IFERROR(H69+I69+J69,0)</f>
        <v>0</v>
      </c>
      <c r="L69" s="166">
        <f t="shared" ref="L69:L92" si="65">IFERROR(D69-H69,0)</f>
        <v>0</v>
      </c>
      <c r="M69" s="166">
        <f t="shared" ref="M69:M92" si="66">IFERROR(E69-I69,0)</f>
        <v>0</v>
      </c>
      <c r="N69" s="166">
        <f t="shared" ref="N69:N92" si="67">IFERROR(F69-J69,0)</f>
        <v>0</v>
      </c>
      <c r="O69" s="166">
        <f t="shared" ref="O69:O92" si="68">IFERROR(L69+M69+N69,0)</f>
        <v>0</v>
      </c>
      <c r="P69" s="385"/>
      <c r="Q69" s="385"/>
      <c r="R69" s="166">
        <f t="shared" ref="R69:R92" si="69">IFERROR(P69-Q69,0)</f>
        <v>0</v>
      </c>
      <c r="S69" s="177"/>
      <c r="T69" s="177"/>
      <c r="U69" s="166">
        <f t="shared" ref="U69:U92" si="70">IFERROR(S69-T69,0)</f>
        <v>0</v>
      </c>
      <c r="V69" s="177"/>
      <c r="W69" s="177"/>
      <c r="X69" s="166">
        <f t="shared" ref="X69:X92" si="71">IFERROR(V69-W69,0)</f>
        <v>0</v>
      </c>
      <c r="Y69" s="177"/>
      <c r="Z69" s="177"/>
      <c r="AA69" s="166">
        <f t="shared" ref="AA69:AA92" si="72">IFERROR(Y69-Z69,0)</f>
        <v>0</v>
      </c>
      <c r="AB69" s="177"/>
      <c r="AC69" s="177"/>
      <c r="AD69" s="166"/>
      <c r="AE69" s="177"/>
      <c r="AF69" s="165">
        <f t="shared" ref="AF69:AF92" si="73">R69+U69+X69+AA69+AD69+AE69</f>
        <v>0</v>
      </c>
      <c r="AG69" s="165">
        <f t="shared" ref="AG69:AG92" si="74">O69-AF69</f>
        <v>0</v>
      </c>
      <c r="AH69" s="177"/>
      <c r="AI69" s="177"/>
      <c r="AJ69" s="168"/>
    </row>
    <row r="70" spans="1:36" x14ac:dyDescent="0.3">
      <c r="A70" s="206" t="str">
        <f t="shared" si="62"/>
        <v>v</v>
      </c>
      <c r="B70" s="165" t="str">
        <f>IF(control!A70="","",control!A70)</f>
        <v/>
      </c>
      <c r="C70" s="165" t="str">
        <f>IF(control!C70="","",control!C70)</f>
        <v/>
      </c>
      <c r="D70" s="165" t="str">
        <f>control!E70</f>
        <v/>
      </c>
      <c r="E70" s="165">
        <f>IFERROR(ROUND(D70*'DATA ENTRY'!F73,0),0)</f>
        <v>0</v>
      </c>
      <c r="F70" s="165">
        <f>IFERROR(ROUND(D70*'DATA ENTRY'!G73,0),0)</f>
        <v>0</v>
      </c>
      <c r="G70" s="166">
        <f t="shared" si="63"/>
        <v>0</v>
      </c>
      <c r="H70" s="165" t="str">
        <f>control!G70</f>
        <v/>
      </c>
      <c r="I70" s="165">
        <f>IFERROR(IF(MASTER!$I$14="Fix Pay",0,ROUND(H70*'DATA ENTRY'!L73,0)),0)</f>
        <v>0</v>
      </c>
      <c r="J70" s="165">
        <f>IFERROR(IF(MASTER!$I$14="Fix Pay",0,ROUND(H70*'DATA ENTRY'!M73,0)),0)</f>
        <v>0</v>
      </c>
      <c r="K70" s="166">
        <f t="shared" si="64"/>
        <v>0</v>
      </c>
      <c r="L70" s="166">
        <f t="shared" si="65"/>
        <v>0</v>
      </c>
      <c r="M70" s="166">
        <f t="shared" si="66"/>
        <v>0</v>
      </c>
      <c r="N70" s="166">
        <f t="shared" si="67"/>
        <v>0</v>
      </c>
      <c r="O70" s="166">
        <f t="shared" si="68"/>
        <v>0</v>
      </c>
      <c r="P70" s="385"/>
      <c r="Q70" s="385"/>
      <c r="R70" s="166">
        <f t="shared" si="69"/>
        <v>0</v>
      </c>
      <c r="S70" s="177"/>
      <c r="T70" s="177"/>
      <c r="U70" s="166">
        <f t="shared" si="70"/>
        <v>0</v>
      </c>
      <c r="V70" s="177"/>
      <c r="W70" s="177"/>
      <c r="X70" s="166">
        <f t="shared" si="71"/>
        <v>0</v>
      </c>
      <c r="Y70" s="177"/>
      <c r="Z70" s="177"/>
      <c r="AA70" s="166">
        <f t="shared" si="72"/>
        <v>0</v>
      </c>
      <c r="AB70" s="177"/>
      <c r="AC70" s="177"/>
      <c r="AD70" s="166"/>
      <c r="AE70" s="177"/>
      <c r="AF70" s="165">
        <f t="shared" si="73"/>
        <v>0</v>
      </c>
      <c r="AG70" s="165">
        <f t="shared" si="74"/>
        <v>0</v>
      </c>
      <c r="AH70" s="177"/>
      <c r="AI70" s="177"/>
      <c r="AJ70" s="168"/>
    </row>
    <row r="71" spans="1:36" x14ac:dyDescent="0.3">
      <c r="A71" s="206" t="str">
        <f t="shared" si="62"/>
        <v>v</v>
      </c>
      <c r="B71" s="165" t="str">
        <f>IF(control!A71="","",control!A71)</f>
        <v/>
      </c>
      <c r="C71" s="165" t="str">
        <f>IF(control!C71="","",control!C71)</f>
        <v/>
      </c>
      <c r="D71" s="165" t="str">
        <f>control!E71</f>
        <v/>
      </c>
      <c r="E71" s="165">
        <f>IFERROR(ROUND(D71*'DATA ENTRY'!F74,0),0)</f>
        <v>0</v>
      </c>
      <c r="F71" s="165">
        <f>IFERROR(ROUND(D71*'DATA ENTRY'!G74,0),0)</f>
        <v>0</v>
      </c>
      <c r="G71" s="166">
        <f t="shared" si="63"/>
        <v>0</v>
      </c>
      <c r="H71" s="165" t="str">
        <f>control!G71</f>
        <v/>
      </c>
      <c r="I71" s="165">
        <f>IFERROR(IF(MASTER!$I$14="Fix Pay",0,ROUND(H71*'DATA ENTRY'!L74,0)),0)</f>
        <v>0</v>
      </c>
      <c r="J71" s="165">
        <f>IFERROR(IF(MASTER!$I$14="Fix Pay",0,ROUND(H71*'DATA ENTRY'!M74,0)),0)</f>
        <v>0</v>
      </c>
      <c r="K71" s="166">
        <f t="shared" si="64"/>
        <v>0</v>
      </c>
      <c r="L71" s="166">
        <f t="shared" si="65"/>
        <v>0</v>
      </c>
      <c r="M71" s="166">
        <f t="shared" si="66"/>
        <v>0</v>
      </c>
      <c r="N71" s="166">
        <f t="shared" si="67"/>
        <v>0</v>
      </c>
      <c r="O71" s="166">
        <f t="shared" si="68"/>
        <v>0</v>
      </c>
      <c r="P71" s="385"/>
      <c r="Q71" s="385"/>
      <c r="R71" s="166">
        <f t="shared" si="69"/>
        <v>0</v>
      </c>
      <c r="S71" s="177"/>
      <c r="T71" s="177"/>
      <c r="U71" s="166">
        <f t="shared" si="70"/>
        <v>0</v>
      </c>
      <c r="V71" s="177"/>
      <c r="W71" s="177"/>
      <c r="X71" s="166">
        <f t="shared" si="71"/>
        <v>0</v>
      </c>
      <c r="Y71" s="177"/>
      <c r="Z71" s="177"/>
      <c r="AA71" s="166">
        <f t="shared" si="72"/>
        <v>0</v>
      </c>
      <c r="AB71" s="177"/>
      <c r="AC71" s="177"/>
      <c r="AD71" s="166"/>
      <c r="AE71" s="177"/>
      <c r="AF71" s="165">
        <f t="shared" si="73"/>
        <v>0</v>
      </c>
      <c r="AG71" s="165">
        <f t="shared" si="74"/>
        <v>0</v>
      </c>
      <c r="AH71" s="177"/>
      <c r="AI71" s="177"/>
      <c r="AJ71" s="168"/>
    </row>
    <row r="72" spans="1:36" x14ac:dyDescent="0.3">
      <c r="A72" s="206" t="str">
        <f t="shared" si="62"/>
        <v>v</v>
      </c>
      <c r="B72" s="165" t="str">
        <f>IF(control!A72="","",control!A72)</f>
        <v/>
      </c>
      <c r="C72" s="165" t="str">
        <f>IF(control!C72="","",control!C72)</f>
        <v/>
      </c>
      <c r="D72" s="165" t="str">
        <f>control!E72</f>
        <v/>
      </c>
      <c r="E72" s="165">
        <f>IFERROR(ROUND(D72*'DATA ENTRY'!F75,0),0)</f>
        <v>0</v>
      </c>
      <c r="F72" s="165">
        <f>IFERROR(ROUND(D72*'DATA ENTRY'!G75,0),0)</f>
        <v>0</v>
      </c>
      <c r="G72" s="166">
        <f t="shared" si="63"/>
        <v>0</v>
      </c>
      <c r="H72" s="165" t="str">
        <f>control!G72</f>
        <v/>
      </c>
      <c r="I72" s="165">
        <f>IFERROR(IF(MASTER!$I$14="Fix Pay",0,ROUND(H72*'DATA ENTRY'!L75,0)),0)</f>
        <v>0</v>
      </c>
      <c r="J72" s="165">
        <f>IFERROR(IF(MASTER!$I$14="Fix Pay",0,ROUND(H72*'DATA ENTRY'!M75,0)),0)</f>
        <v>0</v>
      </c>
      <c r="K72" s="166">
        <f t="shared" si="64"/>
        <v>0</v>
      </c>
      <c r="L72" s="166">
        <f t="shared" si="65"/>
        <v>0</v>
      </c>
      <c r="M72" s="166">
        <f t="shared" si="66"/>
        <v>0</v>
      </c>
      <c r="N72" s="166">
        <f t="shared" si="67"/>
        <v>0</v>
      </c>
      <c r="O72" s="166">
        <f t="shared" si="68"/>
        <v>0</v>
      </c>
      <c r="P72" s="385"/>
      <c r="Q72" s="385"/>
      <c r="R72" s="166">
        <f t="shared" si="69"/>
        <v>0</v>
      </c>
      <c r="S72" s="177"/>
      <c r="T72" s="177"/>
      <c r="U72" s="166">
        <f t="shared" si="70"/>
        <v>0</v>
      </c>
      <c r="V72" s="177"/>
      <c r="W72" s="177"/>
      <c r="X72" s="166">
        <f t="shared" si="71"/>
        <v>0</v>
      </c>
      <c r="Y72" s="177"/>
      <c r="Z72" s="177"/>
      <c r="AA72" s="166">
        <f t="shared" si="72"/>
        <v>0</v>
      </c>
      <c r="AB72" s="177"/>
      <c r="AC72" s="177"/>
      <c r="AD72" s="166"/>
      <c r="AE72" s="177"/>
      <c r="AF72" s="165">
        <f t="shared" si="73"/>
        <v>0</v>
      </c>
      <c r="AG72" s="165">
        <f t="shared" si="74"/>
        <v>0</v>
      </c>
      <c r="AH72" s="177"/>
      <c r="AI72" s="177"/>
      <c r="AJ72" s="168"/>
    </row>
    <row r="73" spans="1:36" x14ac:dyDescent="0.3">
      <c r="A73" s="206" t="str">
        <f t="shared" si="62"/>
        <v>v</v>
      </c>
      <c r="B73" s="165" t="str">
        <f>IF(control!A73="","",control!A73)</f>
        <v/>
      </c>
      <c r="C73" s="165" t="str">
        <f>IF(control!C73="","",control!C73)</f>
        <v/>
      </c>
      <c r="D73" s="165" t="str">
        <f>control!E73</f>
        <v/>
      </c>
      <c r="E73" s="165">
        <f>IFERROR(ROUND(D73*'DATA ENTRY'!F76,0),0)</f>
        <v>0</v>
      </c>
      <c r="F73" s="165">
        <f>IFERROR(ROUND(D73*'DATA ENTRY'!G76,0),0)</f>
        <v>0</v>
      </c>
      <c r="G73" s="166">
        <f t="shared" si="63"/>
        <v>0</v>
      </c>
      <c r="H73" s="165" t="str">
        <f>control!G73</f>
        <v/>
      </c>
      <c r="I73" s="165">
        <f>IFERROR(IF(MASTER!$I$14="Fix Pay",0,ROUND(H73*'DATA ENTRY'!L76,0)),0)</f>
        <v>0</v>
      </c>
      <c r="J73" s="165">
        <f>IFERROR(IF(MASTER!$I$14="Fix Pay",0,ROUND(H73*'DATA ENTRY'!M76,0)),0)</f>
        <v>0</v>
      </c>
      <c r="K73" s="166">
        <f t="shared" si="64"/>
        <v>0</v>
      </c>
      <c r="L73" s="166">
        <f t="shared" si="65"/>
        <v>0</v>
      </c>
      <c r="M73" s="166">
        <f t="shared" si="66"/>
        <v>0</v>
      </c>
      <c r="N73" s="166">
        <f t="shared" si="67"/>
        <v>0</v>
      </c>
      <c r="O73" s="166">
        <f t="shared" si="68"/>
        <v>0</v>
      </c>
      <c r="P73" s="385"/>
      <c r="Q73" s="385"/>
      <c r="R73" s="166">
        <f t="shared" si="69"/>
        <v>0</v>
      </c>
      <c r="S73" s="177"/>
      <c r="T73" s="177"/>
      <c r="U73" s="166">
        <f t="shared" si="70"/>
        <v>0</v>
      </c>
      <c r="V73" s="177"/>
      <c r="W73" s="177"/>
      <c r="X73" s="166">
        <f t="shared" si="71"/>
        <v>0</v>
      </c>
      <c r="Y73" s="177"/>
      <c r="Z73" s="177"/>
      <c r="AA73" s="166">
        <f t="shared" si="72"/>
        <v>0</v>
      </c>
      <c r="AB73" s="177"/>
      <c r="AC73" s="177"/>
      <c r="AD73" s="166"/>
      <c r="AE73" s="177"/>
      <c r="AF73" s="165">
        <f t="shared" si="73"/>
        <v>0</v>
      </c>
      <c r="AG73" s="165">
        <f t="shared" si="74"/>
        <v>0</v>
      </c>
      <c r="AH73" s="177"/>
      <c r="AI73" s="177"/>
      <c r="AJ73" s="168"/>
    </row>
    <row r="74" spans="1:36" x14ac:dyDescent="0.3">
      <c r="A74" s="206" t="str">
        <f t="shared" si="62"/>
        <v>v</v>
      </c>
      <c r="B74" s="165" t="str">
        <f>IF(control!A74="","",control!A74)</f>
        <v/>
      </c>
      <c r="C74" s="165" t="str">
        <f>IF(control!C74="","",control!C74)</f>
        <v/>
      </c>
      <c r="D74" s="165" t="str">
        <f>control!E74</f>
        <v/>
      </c>
      <c r="E74" s="165">
        <f>IFERROR(ROUND(D74*'DATA ENTRY'!F77,0),0)</f>
        <v>0</v>
      </c>
      <c r="F74" s="165">
        <f>IFERROR(ROUND(D74*'DATA ENTRY'!G77,0),0)</f>
        <v>0</v>
      </c>
      <c r="G74" s="166">
        <f t="shared" si="63"/>
        <v>0</v>
      </c>
      <c r="H74" s="165" t="str">
        <f>control!G74</f>
        <v/>
      </c>
      <c r="I74" s="165">
        <f>IFERROR(IF(MASTER!$I$14="Fix Pay",0,ROUND(H74*'DATA ENTRY'!L77,0)),0)</f>
        <v>0</v>
      </c>
      <c r="J74" s="165">
        <f>IFERROR(IF(MASTER!$I$14="Fix Pay",0,ROUND(H74*'DATA ENTRY'!M77,0)),0)</f>
        <v>0</v>
      </c>
      <c r="K74" s="166">
        <f t="shared" si="64"/>
        <v>0</v>
      </c>
      <c r="L74" s="166">
        <f t="shared" si="65"/>
        <v>0</v>
      </c>
      <c r="M74" s="166">
        <f t="shared" si="66"/>
        <v>0</v>
      </c>
      <c r="N74" s="166">
        <f t="shared" si="67"/>
        <v>0</v>
      </c>
      <c r="O74" s="166">
        <f t="shared" si="68"/>
        <v>0</v>
      </c>
      <c r="P74" s="385"/>
      <c r="Q74" s="385"/>
      <c r="R74" s="166">
        <f t="shared" si="69"/>
        <v>0</v>
      </c>
      <c r="S74" s="177"/>
      <c r="T74" s="177"/>
      <c r="U74" s="166">
        <f t="shared" si="70"/>
        <v>0</v>
      </c>
      <c r="V74" s="177"/>
      <c r="W74" s="177"/>
      <c r="X74" s="166">
        <f t="shared" si="71"/>
        <v>0</v>
      </c>
      <c r="Y74" s="177"/>
      <c r="Z74" s="177"/>
      <c r="AA74" s="166">
        <f t="shared" si="72"/>
        <v>0</v>
      </c>
      <c r="AB74" s="177"/>
      <c r="AC74" s="177"/>
      <c r="AD74" s="166"/>
      <c r="AE74" s="177"/>
      <c r="AF74" s="165">
        <f t="shared" si="73"/>
        <v>0</v>
      </c>
      <c r="AG74" s="165">
        <f t="shared" si="74"/>
        <v>0</v>
      </c>
      <c r="AH74" s="177"/>
      <c r="AI74" s="177"/>
      <c r="AJ74" s="168"/>
    </row>
    <row r="75" spans="1:36" x14ac:dyDescent="0.3">
      <c r="A75" s="206" t="str">
        <f t="shared" si="62"/>
        <v>v</v>
      </c>
      <c r="B75" s="165" t="str">
        <f>IF(control!A75="","",control!A75)</f>
        <v/>
      </c>
      <c r="C75" s="165" t="str">
        <f>IF(control!C75="","",control!C75)</f>
        <v/>
      </c>
      <c r="D75" s="165" t="str">
        <f>control!E75</f>
        <v/>
      </c>
      <c r="E75" s="165">
        <f>IFERROR(ROUND(D75*'DATA ENTRY'!F78,0),0)</f>
        <v>0</v>
      </c>
      <c r="F75" s="165">
        <f>IFERROR(ROUND(D75*'DATA ENTRY'!G78,0),0)</f>
        <v>0</v>
      </c>
      <c r="G75" s="166">
        <f t="shared" si="63"/>
        <v>0</v>
      </c>
      <c r="H75" s="165" t="str">
        <f>control!G75</f>
        <v/>
      </c>
      <c r="I75" s="165">
        <f>IFERROR(IF(MASTER!$I$14="Fix Pay",0,ROUND(H75*'DATA ENTRY'!L78,0)),0)</f>
        <v>0</v>
      </c>
      <c r="J75" s="165">
        <f>IFERROR(IF(MASTER!$I$14="Fix Pay",0,ROUND(H75*'DATA ENTRY'!M78,0)),0)</f>
        <v>0</v>
      </c>
      <c r="K75" s="166">
        <f t="shared" si="64"/>
        <v>0</v>
      </c>
      <c r="L75" s="166">
        <f t="shared" si="65"/>
        <v>0</v>
      </c>
      <c r="M75" s="166">
        <f t="shared" si="66"/>
        <v>0</v>
      </c>
      <c r="N75" s="166">
        <f t="shared" si="67"/>
        <v>0</v>
      </c>
      <c r="O75" s="166">
        <f t="shared" si="68"/>
        <v>0</v>
      </c>
      <c r="P75" s="385"/>
      <c r="Q75" s="385"/>
      <c r="R75" s="166">
        <f t="shared" si="69"/>
        <v>0</v>
      </c>
      <c r="S75" s="177"/>
      <c r="T75" s="177"/>
      <c r="U75" s="166">
        <f t="shared" si="70"/>
        <v>0</v>
      </c>
      <c r="V75" s="177"/>
      <c r="W75" s="177"/>
      <c r="X75" s="166">
        <f t="shared" si="71"/>
        <v>0</v>
      </c>
      <c r="Y75" s="177"/>
      <c r="Z75" s="177"/>
      <c r="AA75" s="166">
        <f t="shared" si="72"/>
        <v>0</v>
      </c>
      <c r="AB75" s="177"/>
      <c r="AC75" s="177"/>
      <c r="AD75" s="166"/>
      <c r="AE75" s="177"/>
      <c r="AF75" s="165">
        <f t="shared" si="73"/>
        <v>0</v>
      </c>
      <c r="AG75" s="165">
        <f t="shared" si="74"/>
        <v>0</v>
      </c>
      <c r="AH75" s="177"/>
      <c r="AI75" s="177"/>
      <c r="AJ75" s="168"/>
    </row>
    <row r="76" spans="1:36" x14ac:dyDescent="0.3">
      <c r="A76" s="206" t="str">
        <f t="shared" si="62"/>
        <v>v</v>
      </c>
      <c r="B76" s="165" t="str">
        <f>IF(control!A76="","",control!A76)</f>
        <v/>
      </c>
      <c r="C76" s="165" t="str">
        <f>IF(control!C76="","",control!C76)</f>
        <v/>
      </c>
      <c r="D76" s="165" t="str">
        <f>control!E76</f>
        <v/>
      </c>
      <c r="E76" s="165">
        <f>IFERROR(ROUND(D76*'DATA ENTRY'!F79,0),0)</f>
        <v>0</v>
      </c>
      <c r="F76" s="165">
        <f>IFERROR(ROUND(D76*'DATA ENTRY'!G79,0),0)</f>
        <v>0</v>
      </c>
      <c r="G76" s="166">
        <f t="shared" si="63"/>
        <v>0</v>
      </c>
      <c r="H76" s="165" t="str">
        <f>control!G76</f>
        <v/>
      </c>
      <c r="I76" s="165">
        <f>IFERROR(IF(MASTER!$I$14="Fix Pay",0,ROUND(H76*'DATA ENTRY'!L79,0)),0)</f>
        <v>0</v>
      </c>
      <c r="J76" s="165">
        <f>IFERROR(IF(MASTER!$I$14="Fix Pay",0,ROUND(H76*'DATA ENTRY'!M79,0)),0)</f>
        <v>0</v>
      </c>
      <c r="K76" s="166">
        <f t="shared" si="64"/>
        <v>0</v>
      </c>
      <c r="L76" s="166">
        <f t="shared" si="65"/>
        <v>0</v>
      </c>
      <c r="M76" s="166">
        <f t="shared" si="66"/>
        <v>0</v>
      </c>
      <c r="N76" s="166">
        <f t="shared" si="67"/>
        <v>0</v>
      </c>
      <c r="O76" s="166">
        <f t="shared" si="68"/>
        <v>0</v>
      </c>
      <c r="P76" s="385"/>
      <c r="Q76" s="385"/>
      <c r="R76" s="166">
        <f t="shared" si="69"/>
        <v>0</v>
      </c>
      <c r="S76" s="177"/>
      <c r="T76" s="177"/>
      <c r="U76" s="166">
        <f t="shared" si="70"/>
        <v>0</v>
      </c>
      <c r="V76" s="177"/>
      <c r="W76" s="177"/>
      <c r="X76" s="166">
        <f t="shared" si="71"/>
        <v>0</v>
      </c>
      <c r="Y76" s="177"/>
      <c r="Z76" s="177"/>
      <c r="AA76" s="166">
        <f t="shared" si="72"/>
        <v>0</v>
      </c>
      <c r="AB76" s="177"/>
      <c r="AC76" s="177"/>
      <c r="AD76" s="166"/>
      <c r="AE76" s="177"/>
      <c r="AF76" s="165">
        <f t="shared" si="73"/>
        <v>0</v>
      </c>
      <c r="AG76" s="165">
        <f t="shared" si="74"/>
        <v>0</v>
      </c>
      <c r="AH76" s="177"/>
      <c r="AI76" s="177"/>
      <c r="AJ76" s="168"/>
    </row>
    <row r="77" spans="1:36" x14ac:dyDescent="0.3">
      <c r="A77" s="206" t="str">
        <f t="shared" si="62"/>
        <v>v</v>
      </c>
      <c r="B77" s="165" t="str">
        <f>IF(control!A77="","",control!A77)</f>
        <v/>
      </c>
      <c r="C77" s="165" t="str">
        <f>IF(control!C77="","",control!C77)</f>
        <v/>
      </c>
      <c r="D77" s="165" t="str">
        <f>control!E77</f>
        <v/>
      </c>
      <c r="E77" s="165">
        <f>IFERROR(ROUND(D77*'DATA ENTRY'!F80,0),0)</f>
        <v>0</v>
      </c>
      <c r="F77" s="165">
        <f>IFERROR(ROUND(D77*'DATA ENTRY'!G80,0),0)</f>
        <v>0</v>
      </c>
      <c r="G77" s="166">
        <f t="shared" si="63"/>
        <v>0</v>
      </c>
      <c r="H77" s="165" t="str">
        <f>control!G77</f>
        <v/>
      </c>
      <c r="I77" s="165">
        <f>IFERROR(IF(MASTER!$I$14="Fix Pay",0,ROUND(H77*'DATA ENTRY'!L80,0)),0)</f>
        <v>0</v>
      </c>
      <c r="J77" s="165">
        <f>IFERROR(IF(MASTER!$I$14="Fix Pay",0,ROUND(H77*'DATA ENTRY'!M80,0)),0)</f>
        <v>0</v>
      </c>
      <c r="K77" s="166">
        <f t="shared" si="64"/>
        <v>0</v>
      </c>
      <c r="L77" s="166">
        <f t="shared" si="65"/>
        <v>0</v>
      </c>
      <c r="M77" s="166">
        <f t="shared" si="66"/>
        <v>0</v>
      </c>
      <c r="N77" s="166">
        <f t="shared" si="67"/>
        <v>0</v>
      </c>
      <c r="O77" s="166">
        <f t="shared" si="68"/>
        <v>0</v>
      </c>
      <c r="P77" s="385"/>
      <c r="Q77" s="385"/>
      <c r="R77" s="166">
        <f t="shared" si="69"/>
        <v>0</v>
      </c>
      <c r="S77" s="177"/>
      <c r="T77" s="177"/>
      <c r="U77" s="166">
        <f t="shared" si="70"/>
        <v>0</v>
      </c>
      <c r="V77" s="177"/>
      <c r="W77" s="177"/>
      <c r="X77" s="166">
        <f t="shared" si="71"/>
        <v>0</v>
      </c>
      <c r="Y77" s="177"/>
      <c r="Z77" s="177"/>
      <c r="AA77" s="166">
        <f t="shared" si="72"/>
        <v>0</v>
      </c>
      <c r="AB77" s="177"/>
      <c r="AC77" s="177"/>
      <c r="AD77" s="166"/>
      <c r="AE77" s="177"/>
      <c r="AF77" s="165">
        <f t="shared" si="73"/>
        <v>0</v>
      </c>
      <c r="AG77" s="165">
        <f t="shared" si="74"/>
        <v>0</v>
      </c>
      <c r="AH77" s="177"/>
      <c r="AI77" s="177"/>
      <c r="AJ77" s="168"/>
    </row>
    <row r="78" spans="1:36" x14ac:dyDescent="0.3">
      <c r="A78" s="206" t="str">
        <f t="shared" si="62"/>
        <v>v</v>
      </c>
      <c r="B78" s="165" t="str">
        <f>IF(control!A78="","",control!A78)</f>
        <v/>
      </c>
      <c r="C78" s="165" t="str">
        <f>IF(control!C78="","",control!C78)</f>
        <v/>
      </c>
      <c r="D78" s="165" t="str">
        <f>control!E78</f>
        <v/>
      </c>
      <c r="E78" s="165">
        <f>IFERROR(ROUND(D78*'DATA ENTRY'!F81,0),0)</f>
        <v>0</v>
      </c>
      <c r="F78" s="165">
        <f>IFERROR(ROUND(D78*'DATA ENTRY'!G81,0),0)</f>
        <v>0</v>
      </c>
      <c r="G78" s="166">
        <f t="shared" si="63"/>
        <v>0</v>
      </c>
      <c r="H78" s="165" t="str">
        <f>control!G78</f>
        <v/>
      </c>
      <c r="I78" s="165">
        <f>IFERROR(IF(MASTER!$I$14="Fix Pay",0,ROUND(H78*'DATA ENTRY'!L81,0)),0)</f>
        <v>0</v>
      </c>
      <c r="J78" s="165">
        <f>IFERROR(IF(MASTER!$I$14="Fix Pay",0,ROUND(H78*'DATA ENTRY'!M81,0)),0)</f>
        <v>0</v>
      </c>
      <c r="K78" s="166">
        <f t="shared" si="64"/>
        <v>0</v>
      </c>
      <c r="L78" s="166">
        <f t="shared" si="65"/>
        <v>0</v>
      </c>
      <c r="M78" s="166">
        <f t="shared" si="66"/>
        <v>0</v>
      </c>
      <c r="N78" s="166">
        <f t="shared" si="67"/>
        <v>0</v>
      </c>
      <c r="O78" s="166">
        <f t="shared" si="68"/>
        <v>0</v>
      </c>
      <c r="P78" s="385"/>
      <c r="Q78" s="385"/>
      <c r="R78" s="166">
        <f t="shared" si="69"/>
        <v>0</v>
      </c>
      <c r="S78" s="177"/>
      <c r="T78" s="177"/>
      <c r="U78" s="166">
        <f t="shared" si="70"/>
        <v>0</v>
      </c>
      <c r="V78" s="177"/>
      <c r="W78" s="177"/>
      <c r="X78" s="166">
        <f t="shared" si="71"/>
        <v>0</v>
      </c>
      <c r="Y78" s="177"/>
      <c r="Z78" s="177"/>
      <c r="AA78" s="166">
        <f t="shared" si="72"/>
        <v>0</v>
      </c>
      <c r="AB78" s="177"/>
      <c r="AC78" s="177"/>
      <c r="AD78" s="166"/>
      <c r="AE78" s="177"/>
      <c r="AF78" s="165">
        <f t="shared" si="73"/>
        <v>0</v>
      </c>
      <c r="AG78" s="165">
        <f t="shared" si="74"/>
        <v>0</v>
      </c>
      <c r="AH78" s="177"/>
      <c r="AI78" s="177"/>
      <c r="AJ78" s="168"/>
    </row>
    <row r="79" spans="1:36" x14ac:dyDescent="0.3">
      <c r="A79" s="206" t="str">
        <f t="shared" si="62"/>
        <v>v</v>
      </c>
      <c r="B79" s="165" t="str">
        <f>IF(control!A79="","",control!A79)</f>
        <v/>
      </c>
      <c r="C79" s="165" t="str">
        <f>IF(control!C79="","",control!C79)</f>
        <v/>
      </c>
      <c r="D79" s="165" t="str">
        <f>control!E79</f>
        <v/>
      </c>
      <c r="E79" s="165">
        <f>IFERROR(ROUND(D79*'DATA ENTRY'!F82,0),0)</f>
        <v>0</v>
      </c>
      <c r="F79" s="165">
        <f>IFERROR(ROUND(D79*'DATA ENTRY'!G82,0),0)</f>
        <v>0</v>
      </c>
      <c r="G79" s="166">
        <f t="shared" si="63"/>
        <v>0</v>
      </c>
      <c r="H79" s="165" t="str">
        <f>control!G79</f>
        <v/>
      </c>
      <c r="I79" s="165">
        <f>IFERROR(IF(MASTER!$I$14="Fix Pay",0,ROUND(H79*'DATA ENTRY'!L82,0)),0)</f>
        <v>0</v>
      </c>
      <c r="J79" s="165">
        <f>IFERROR(IF(MASTER!$I$14="Fix Pay",0,ROUND(H79*'DATA ENTRY'!M82,0)),0)</f>
        <v>0</v>
      </c>
      <c r="K79" s="166">
        <f t="shared" si="64"/>
        <v>0</v>
      </c>
      <c r="L79" s="166">
        <f t="shared" si="65"/>
        <v>0</v>
      </c>
      <c r="M79" s="166">
        <f t="shared" si="66"/>
        <v>0</v>
      </c>
      <c r="N79" s="166">
        <f t="shared" si="67"/>
        <v>0</v>
      </c>
      <c r="O79" s="166">
        <f t="shared" si="68"/>
        <v>0</v>
      </c>
      <c r="P79" s="385"/>
      <c r="Q79" s="385"/>
      <c r="R79" s="166">
        <f t="shared" si="69"/>
        <v>0</v>
      </c>
      <c r="S79" s="177"/>
      <c r="T79" s="177"/>
      <c r="U79" s="166">
        <f t="shared" si="70"/>
        <v>0</v>
      </c>
      <c r="V79" s="177"/>
      <c r="W79" s="177"/>
      <c r="X79" s="166">
        <f t="shared" si="71"/>
        <v>0</v>
      </c>
      <c r="Y79" s="177"/>
      <c r="Z79" s="177"/>
      <c r="AA79" s="166">
        <f t="shared" si="72"/>
        <v>0</v>
      </c>
      <c r="AB79" s="177"/>
      <c r="AC79" s="177"/>
      <c r="AD79" s="166"/>
      <c r="AE79" s="177"/>
      <c r="AF79" s="165">
        <f t="shared" si="73"/>
        <v>0</v>
      </c>
      <c r="AG79" s="165">
        <f t="shared" si="74"/>
        <v>0</v>
      </c>
      <c r="AH79" s="177"/>
      <c r="AI79" s="177"/>
      <c r="AJ79" s="168"/>
    </row>
    <row r="80" spans="1:36" x14ac:dyDescent="0.3">
      <c r="A80" s="206" t="str">
        <f t="shared" si="62"/>
        <v>v</v>
      </c>
      <c r="B80" s="165" t="str">
        <f>IF(control!A80="","",control!A80)</f>
        <v/>
      </c>
      <c r="C80" s="165" t="str">
        <f>IF(control!C80="","",control!C80)</f>
        <v/>
      </c>
      <c r="D80" s="165" t="str">
        <f>control!E80</f>
        <v/>
      </c>
      <c r="E80" s="165">
        <f>IFERROR(ROUND(D80*'DATA ENTRY'!F83,0),0)</f>
        <v>0</v>
      </c>
      <c r="F80" s="165">
        <f>IFERROR(ROUND(D80*'DATA ENTRY'!G83,0),0)</f>
        <v>0</v>
      </c>
      <c r="G80" s="166">
        <f t="shared" si="63"/>
        <v>0</v>
      </c>
      <c r="H80" s="165" t="str">
        <f>control!G80</f>
        <v/>
      </c>
      <c r="I80" s="165">
        <f>IFERROR(IF(MASTER!$I$14="Fix Pay",0,ROUND(H80*'DATA ENTRY'!L83,0)),0)</f>
        <v>0</v>
      </c>
      <c r="J80" s="165">
        <f>IFERROR(IF(MASTER!$I$14="Fix Pay",0,ROUND(H80*'DATA ENTRY'!M83,0)),0)</f>
        <v>0</v>
      </c>
      <c r="K80" s="166">
        <f t="shared" si="64"/>
        <v>0</v>
      </c>
      <c r="L80" s="166">
        <f t="shared" si="65"/>
        <v>0</v>
      </c>
      <c r="M80" s="166">
        <f t="shared" si="66"/>
        <v>0</v>
      </c>
      <c r="N80" s="166">
        <f t="shared" si="67"/>
        <v>0</v>
      </c>
      <c r="O80" s="166">
        <f t="shared" si="68"/>
        <v>0</v>
      </c>
      <c r="P80" s="385"/>
      <c r="Q80" s="385"/>
      <c r="R80" s="166">
        <f t="shared" si="69"/>
        <v>0</v>
      </c>
      <c r="S80" s="177"/>
      <c r="T80" s="177"/>
      <c r="U80" s="166">
        <f t="shared" si="70"/>
        <v>0</v>
      </c>
      <c r="V80" s="177"/>
      <c r="W80" s="177"/>
      <c r="X80" s="166">
        <f t="shared" si="71"/>
        <v>0</v>
      </c>
      <c r="Y80" s="177"/>
      <c r="Z80" s="177"/>
      <c r="AA80" s="166">
        <f t="shared" si="72"/>
        <v>0</v>
      </c>
      <c r="AB80" s="177"/>
      <c r="AC80" s="177"/>
      <c r="AD80" s="166"/>
      <c r="AE80" s="177"/>
      <c r="AF80" s="165">
        <f t="shared" si="73"/>
        <v>0</v>
      </c>
      <c r="AG80" s="165">
        <f t="shared" si="74"/>
        <v>0</v>
      </c>
      <c r="AH80" s="177"/>
      <c r="AI80" s="177"/>
      <c r="AJ80" s="168"/>
    </row>
    <row r="81" spans="1:36" x14ac:dyDescent="0.3">
      <c r="A81" s="206" t="str">
        <f t="shared" si="62"/>
        <v>v</v>
      </c>
      <c r="B81" s="165" t="str">
        <f>IF(control!A81="","",control!A81)</f>
        <v/>
      </c>
      <c r="C81" s="165" t="str">
        <f>IF(control!C81="","",control!C81)</f>
        <v/>
      </c>
      <c r="D81" s="165" t="str">
        <f>control!E81</f>
        <v/>
      </c>
      <c r="E81" s="165">
        <f>IFERROR(ROUND(D81*'DATA ENTRY'!F84,0),0)</f>
        <v>0</v>
      </c>
      <c r="F81" s="165">
        <f>IFERROR(ROUND(D81*'DATA ENTRY'!G84,0),0)</f>
        <v>0</v>
      </c>
      <c r="G81" s="166">
        <f t="shared" si="63"/>
        <v>0</v>
      </c>
      <c r="H81" s="165" t="str">
        <f>control!G81</f>
        <v/>
      </c>
      <c r="I81" s="165">
        <f>IFERROR(IF(MASTER!$I$14="Fix Pay",0,ROUND(H81*'DATA ENTRY'!L84,0)),0)</f>
        <v>0</v>
      </c>
      <c r="J81" s="165">
        <f>IFERROR(IF(MASTER!$I$14="Fix Pay",0,ROUND(H81*'DATA ENTRY'!M84,0)),0)</f>
        <v>0</v>
      </c>
      <c r="K81" s="166">
        <f t="shared" si="64"/>
        <v>0</v>
      </c>
      <c r="L81" s="166">
        <f t="shared" si="65"/>
        <v>0</v>
      </c>
      <c r="M81" s="166">
        <f t="shared" si="66"/>
        <v>0</v>
      </c>
      <c r="N81" s="166">
        <f t="shared" si="67"/>
        <v>0</v>
      </c>
      <c r="O81" s="166">
        <f t="shared" si="68"/>
        <v>0</v>
      </c>
      <c r="P81" s="385"/>
      <c r="Q81" s="385"/>
      <c r="R81" s="166">
        <f t="shared" si="69"/>
        <v>0</v>
      </c>
      <c r="S81" s="177"/>
      <c r="T81" s="177"/>
      <c r="U81" s="166">
        <f t="shared" si="70"/>
        <v>0</v>
      </c>
      <c r="V81" s="177"/>
      <c r="W81" s="177"/>
      <c r="X81" s="166">
        <f t="shared" si="71"/>
        <v>0</v>
      </c>
      <c r="Y81" s="177"/>
      <c r="Z81" s="177"/>
      <c r="AA81" s="166">
        <f t="shared" si="72"/>
        <v>0</v>
      </c>
      <c r="AB81" s="177"/>
      <c r="AC81" s="177"/>
      <c r="AD81" s="166"/>
      <c r="AE81" s="177"/>
      <c r="AF81" s="165">
        <f t="shared" si="73"/>
        <v>0</v>
      </c>
      <c r="AG81" s="165">
        <f t="shared" si="74"/>
        <v>0</v>
      </c>
      <c r="AH81" s="177"/>
      <c r="AI81" s="177"/>
      <c r="AJ81" s="168"/>
    </row>
    <row r="82" spans="1:36" x14ac:dyDescent="0.3">
      <c r="A82" s="206" t="str">
        <f t="shared" si="62"/>
        <v>v</v>
      </c>
      <c r="B82" s="165" t="str">
        <f>IF(control!A82="","",control!A82)</f>
        <v/>
      </c>
      <c r="C82" s="165" t="str">
        <f>IF(control!C82="","",control!C82)</f>
        <v/>
      </c>
      <c r="D82" s="165" t="str">
        <f>control!E82</f>
        <v/>
      </c>
      <c r="E82" s="165">
        <f>IFERROR(ROUND(D82*'DATA ENTRY'!F85,0),0)</f>
        <v>0</v>
      </c>
      <c r="F82" s="165">
        <f>IFERROR(ROUND(D82*'DATA ENTRY'!G85,0),0)</f>
        <v>0</v>
      </c>
      <c r="G82" s="166">
        <f t="shared" si="63"/>
        <v>0</v>
      </c>
      <c r="H82" s="165" t="str">
        <f>control!G82</f>
        <v/>
      </c>
      <c r="I82" s="165">
        <f>IFERROR(IF(MASTER!$I$14="Fix Pay",0,ROUND(H82*'DATA ENTRY'!L85,0)),0)</f>
        <v>0</v>
      </c>
      <c r="J82" s="165">
        <f>IFERROR(IF(MASTER!$I$14="Fix Pay",0,ROUND(H82*'DATA ENTRY'!M85,0)),0)</f>
        <v>0</v>
      </c>
      <c r="K82" s="166">
        <f t="shared" si="64"/>
        <v>0</v>
      </c>
      <c r="L82" s="166">
        <f t="shared" si="65"/>
        <v>0</v>
      </c>
      <c r="M82" s="166">
        <f t="shared" si="66"/>
        <v>0</v>
      </c>
      <c r="N82" s="166">
        <f t="shared" si="67"/>
        <v>0</v>
      </c>
      <c r="O82" s="166">
        <f t="shared" si="68"/>
        <v>0</v>
      </c>
      <c r="P82" s="385"/>
      <c r="Q82" s="385"/>
      <c r="R82" s="166">
        <f t="shared" si="69"/>
        <v>0</v>
      </c>
      <c r="S82" s="177"/>
      <c r="T82" s="177"/>
      <c r="U82" s="166">
        <f t="shared" si="70"/>
        <v>0</v>
      </c>
      <c r="V82" s="177"/>
      <c r="W82" s="177"/>
      <c r="X82" s="166">
        <f t="shared" si="71"/>
        <v>0</v>
      </c>
      <c r="Y82" s="177"/>
      <c r="Z82" s="177"/>
      <c r="AA82" s="166">
        <f t="shared" si="72"/>
        <v>0</v>
      </c>
      <c r="AB82" s="177"/>
      <c r="AC82" s="177"/>
      <c r="AD82" s="166"/>
      <c r="AE82" s="177"/>
      <c r="AF82" s="165">
        <f t="shared" si="73"/>
        <v>0</v>
      </c>
      <c r="AG82" s="165">
        <f t="shared" si="74"/>
        <v>0</v>
      </c>
      <c r="AH82" s="177"/>
      <c r="AI82" s="177"/>
      <c r="AJ82" s="168"/>
    </row>
    <row r="83" spans="1:36" x14ac:dyDescent="0.3">
      <c r="A83" s="206" t="str">
        <f t="shared" si="62"/>
        <v>v</v>
      </c>
      <c r="B83" s="165" t="str">
        <f>IF(control!A83="","",control!A83)</f>
        <v/>
      </c>
      <c r="C83" s="165" t="str">
        <f>IF(control!C83="","",control!C83)</f>
        <v/>
      </c>
      <c r="D83" s="165" t="str">
        <f>control!E83</f>
        <v/>
      </c>
      <c r="E83" s="165">
        <f>IFERROR(ROUND(D83*'DATA ENTRY'!F86,0),0)</f>
        <v>0</v>
      </c>
      <c r="F83" s="165">
        <f>IFERROR(ROUND(D83*'DATA ENTRY'!G86,0),0)</f>
        <v>0</v>
      </c>
      <c r="G83" s="166">
        <f t="shared" si="63"/>
        <v>0</v>
      </c>
      <c r="H83" s="165" t="str">
        <f>control!G83</f>
        <v/>
      </c>
      <c r="I83" s="165">
        <f>IFERROR(IF(MASTER!$I$14="Fix Pay",0,ROUND(H83*'DATA ENTRY'!L86,0)),0)</f>
        <v>0</v>
      </c>
      <c r="J83" s="165">
        <f>IFERROR(IF(MASTER!$I$14="Fix Pay",0,ROUND(H83*'DATA ENTRY'!M86,0)),0)</f>
        <v>0</v>
      </c>
      <c r="K83" s="166">
        <f t="shared" si="64"/>
        <v>0</v>
      </c>
      <c r="L83" s="166">
        <f t="shared" si="65"/>
        <v>0</v>
      </c>
      <c r="M83" s="166">
        <f t="shared" si="66"/>
        <v>0</v>
      </c>
      <c r="N83" s="166">
        <f t="shared" si="67"/>
        <v>0</v>
      </c>
      <c r="O83" s="166">
        <f t="shared" si="68"/>
        <v>0</v>
      </c>
      <c r="P83" s="385"/>
      <c r="Q83" s="385"/>
      <c r="R83" s="166">
        <f t="shared" si="69"/>
        <v>0</v>
      </c>
      <c r="S83" s="177"/>
      <c r="T83" s="177"/>
      <c r="U83" s="166">
        <f t="shared" si="70"/>
        <v>0</v>
      </c>
      <c r="V83" s="177"/>
      <c r="W83" s="177"/>
      <c r="X83" s="166">
        <f t="shared" si="71"/>
        <v>0</v>
      </c>
      <c r="Y83" s="177"/>
      <c r="Z83" s="177"/>
      <c r="AA83" s="166">
        <f t="shared" si="72"/>
        <v>0</v>
      </c>
      <c r="AB83" s="177"/>
      <c r="AC83" s="177"/>
      <c r="AD83" s="166"/>
      <c r="AE83" s="177"/>
      <c r="AF83" s="165">
        <f t="shared" si="73"/>
        <v>0</v>
      </c>
      <c r="AG83" s="165">
        <f t="shared" si="74"/>
        <v>0</v>
      </c>
      <c r="AH83" s="177"/>
      <c r="AI83" s="177"/>
      <c r="AJ83" s="168"/>
    </row>
    <row r="84" spans="1:36" x14ac:dyDescent="0.3">
      <c r="A84" s="206" t="str">
        <f t="shared" si="62"/>
        <v>v</v>
      </c>
      <c r="B84" s="165" t="str">
        <f>IF(control!A84="","",control!A84)</f>
        <v/>
      </c>
      <c r="C84" s="165" t="str">
        <f>IF(control!C84="","",control!C84)</f>
        <v/>
      </c>
      <c r="D84" s="165" t="str">
        <f>control!E84</f>
        <v/>
      </c>
      <c r="E84" s="165">
        <f>IFERROR(ROUND(D84*'DATA ENTRY'!F87,0),0)</f>
        <v>0</v>
      </c>
      <c r="F84" s="165">
        <f>IFERROR(ROUND(D84*'DATA ENTRY'!G87,0),0)</f>
        <v>0</v>
      </c>
      <c r="G84" s="166">
        <f t="shared" si="63"/>
        <v>0</v>
      </c>
      <c r="H84" s="165" t="str">
        <f>control!G84</f>
        <v/>
      </c>
      <c r="I84" s="165">
        <f>IFERROR(IF(MASTER!$I$14="Fix Pay",0,ROUND(H84*'DATA ENTRY'!L87,0)),0)</f>
        <v>0</v>
      </c>
      <c r="J84" s="165">
        <f>IFERROR(IF(MASTER!$I$14="Fix Pay",0,ROUND(H84*'DATA ENTRY'!M87,0)),0)</f>
        <v>0</v>
      </c>
      <c r="K84" s="166">
        <f t="shared" si="64"/>
        <v>0</v>
      </c>
      <c r="L84" s="166">
        <f t="shared" si="65"/>
        <v>0</v>
      </c>
      <c r="M84" s="166">
        <f t="shared" si="66"/>
        <v>0</v>
      </c>
      <c r="N84" s="166">
        <f t="shared" si="67"/>
        <v>0</v>
      </c>
      <c r="O84" s="166">
        <f t="shared" si="68"/>
        <v>0</v>
      </c>
      <c r="P84" s="385"/>
      <c r="Q84" s="385"/>
      <c r="R84" s="166">
        <f t="shared" si="69"/>
        <v>0</v>
      </c>
      <c r="S84" s="177"/>
      <c r="T84" s="177"/>
      <c r="U84" s="166">
        <f t="shared" si="70"/>
        <v>0</v>
      </c>
      <c r="V84" s="177"/>
      <c r="W84" s="177"/>
      <c r="X84" s="166">
        <f t="shared" si="71"/>
        <v>0</v>
      </c>
      <c r="Y84" s="177"/>
      <c r="Z84" s="177"/>
      <c r="AA84" s="166">
        <f t="shared" si="72"/>
        <v>0</v>
      </c>
      <c r="AB84" s="177"/>
      <c r="AC84" s="177"/>
      <c r="AD84" s="166"/>
      <c r="AE84" s="177"/>
      <c r="AF84" s="165">
        <f t="shared" si="73"/>
        <v>0</v>
      </c>
      <c r="AG84" s="165">
        <f t="shared" si="74"/>
        <v>0</v>
      </c>
      <c r="AH84" s="177"/>
      <c r="AI84" s="177"/>
      <c r="AJ84" s="168"/>
    </row>
    <row r="85" spans="1:36" x14ac:dyDescent="0.3">
      <c r="A85" s="206" t="str">
        <f t="shared" si="62"/>
        <v>v</v>
      </c>
      <c r="B85" s="165" t="str">
        <f>IF(control!A85="","",control!A85)</f>
        <v/>
      </c>
      <c r="C85" s="165" t="str">
        <f>IF(control!C85="","",control!C85)</f>
        <v/>
      </c>
      <c r="D85" s="165" t="str">
        <f>control!E85</f>
        <v/>
      </c>
      <c r="E85" s="165">
        <f>IFERROR(ROUND(D85*'DATA ENTRY'!F88,0),0)</f>
        <v>0</v>
      </c>
      <c r="F85" s="165">
        <f>IFERROR(ROUND(D85*'DATA ENTRY'!G88,0),0)</f>
        <v>0</v>
      </c>
      <c r="G85" s="166">
        <f t="shared" si="63"/>
        <v>0</v>
      </c>
      <c r="H85" s="165" t="str">
        <f>control!G85</f>
        <v/>
      </c>
      <c r="I85" s="165">
        <f>IFERROR(IF(MASTER!$I$14="Fix Pay",0,ROUND(H85*'DATA ENTRY'!L88,0)),0)</f>
        <v>0</v>
      </c>
      <c r="J85" s="165">
        <f>IFERROR(IF(MASTER!$I$14="Fix Pay",0,ROUND(H85*'DATA ENTRY'!M88,0)),0)</f>
        <v>0</v>
      </c>
      <c r="K85" s="166">
        <f t="shared" si="64"/>
        <v>0</v>
      </c>
      <c r="L85" s="166">
        <f t="shared" si="65"/>
        <v>0</v>
      </c>
      <c r="M85" s="166">
        <f t="shared" si="66"/>
        <v>0</v>
      </c>
      <c r="N85" s="166">
        <f t="shared" si="67"/>
        <v>0</v>
      </c>
      <c r="O85" s="166">
        <f t="shared" si="68"/>
        <v>0</v>
      </c>
      <c r="P85" s="385"/>
      <c r="Q85" s="385"/>
      <c r="R85" s="166">
        <f t="shared" si="69"/>
        <v>0</v>
      </c>
      <c r="S85" s="177"/>
      <c r="T85" s="177"/>
      <c r="U85" s="166">
        <f t="shared" si="70"/>
        <v>0</v>
      </c>
      <c r="V85" s="177"/>
      <c r="W85" s="177"/>
      <c r="X85" s="166">
        <f t="shared" si="71"/>
        <v>0</v>
      </c>
      <c r="Y85" s="177"/>
      <c r="Z85" s="177"/>
      <c r="AA85" s="166">
        <f t="shared" si="72"/>
        <v>0</v>
      </c>
      <c r="AB85" s="177"/>
      <c r="AC85" s="177"/>
      <c r="AD85" s="166"/>
      <c r="AE85" s="177"/>
      <c r="AF85" s="165">
        <f t="shared" si="73"/>
        <v>0</v>
      </c>
      <c r="AG85" s="165">
        <f t="shared" si="74"/>
        <v>0</v>
      </c>
      <c r="AH85" s="177"/>
      <c r="AI85" s="177"/>
      <c r="AJ85" s="168"/>
    </row>
    <row r="86" spans="1:36" x14ac:dyDescent="0.3">
      <c r="A86" s="206" t="str">
        <f t="shared" si="62"/>
        <v>v</v>
      </c>
      <c r="B86" s="165" t="str">
        <f>IF(control!A86="","",control!A86)</f>
        <v/>
      </c>
      <c r="C86" s="165" t="str">
        <f>IF(control!C86="","",control!C86)</f>
        <v/>
      </c>
      <c r="D86" s="165" t="str">
        <f>control!E86</f>
        <v/>
      </c>
      <c r="E86" s="165">
        <f>IFERROR(ROUND(D86*'DATA ENTRY'!F89,0),0)</f>
        <v>0</v>
      </c>
      <c r="F86" s="165">
        <f>IFERROR(ROUND(D86*'DATA ENTRY'!G89,0),0)</f>
        <v>0</v>
      </c>
      <c r="G86" s="166">
        <f t="shared" si="63"/>
        <v>0</v>
      </c>
      <c r="H86" s="165" t="str">
        <f>control!G86</f>
        <v/>
      </c>
      <c r="I86" s="165">
        <f>IFERROR(IF(MASTER!$I$14="Fix Pay",0,ROUND(H86*'DATA ENTRY'!L89,0)),0)</f>
        <v>0</v>
      </c>
      <c r="J86" s="165">
        <f>IFERROR(IF(MASTER!$I$14="Fix Pay",0,ROUND(H86*'DATA ENTRY'!M89,0)),0)</f>
        <v>0</v>
      </c>
      <c r="K86" s="166">
        <f t="shared" si="64"/>
        <v>0</v>
      </c>
      <c r="L86" s="166">
        <f t="shared" si="65"/>
        <v>0</v>
      </c>
      <c r="M86" s="166">
        <f t="shared" si="66"/>
        <v>0</v>
      </c>
      <c r="N86" s="166">
        <f t="shared" si="67"/>
        <v>0</v>
      </c>
      <c r="O86" s="166">
        <f t="shared" si="68"/>
        <v>0</v>
      </c>
      <c r="P86" s="385"/>
      <c r="Q86" s="385"/>
      <c r="R86" s="166">
        <f t="shared" si="69"/>
        <v>0</v>
      </c>
      <c r="S86" s="177"/>
      <c r="T86" s="177"/>
      <c r="U86" s="166">
        <f t="shared" si="70"/>
        <v>0</v>
      </c>
      <c r="V86" s="177"/>
      <c r="W86" s="177"/>
      <c r="X86" s="166">
        <f t="shared" si="71"/>
        <v>0</v>
      </c>
      <c r="Y86" s="177"/>
      <c r="Z86" s="177"/>
      <c r="AA86" s="166">
        <f t="shared" si="72"/>
        <v>0</v>
      </c>
      <c r="AB86" s="177"/>
      <c r="AC86" s="177"/>
      <c r="AD86" s="166"/>
      <c r="AE86" s="177"/>
      <c r="AF86" s="165">
        <f t="shared" si="73"/>
        <v>0</v>
      </c>
      <c r="AG86" s="165">
        <f t="shared" si="74"/>
        <v>0</v>
      </c>
      <c r="AH86" s="177"/>
      <c r="AI86" s="177"/>
      <c r="AJ86" s="168"/>
    </row>
    <row r="87" spans="1:36" x14ac:dyDescent="0.3">
      <c r="A87" s="206" t="str">
        <f t="shared" si="62"/>
        <v>v</v>
      </c>
      <c r="B87" s="165" t="str">
        <f>IF(control!A87="","",control!A87)</f>
        <v/>
      </c>
      <c r="C87" s="165" t="str">
        <f>IF(control!C87="","",control!C87)</f>
        <v/>
      </c>
      <c r="D87" s="165" t="str">
        <f>control!E87</f>
        <v/>
      </c>
      <c r="E87" s="165">
        <f>IFERROR(ROUND(D87*'DATA ENTRY'!F90,0),0)</f>
        <v>0</v>
      </c>
      <c r="F87" s="165">
        <f>IFERROR(ROUND(D87*'DATA ENTRY'!G90,0),0)</f>
        <v>0</v>
      </c>
      <c r="G87" s="166">
        <f t="shared" si="63"/>
        <v>0</v>
      </c>
      <c r="H87" s="165" t="str">
        <f>control!G87</f>
        <v/>
      </c>
      <c r="I87" s="165">
        <f>IFERROR(IF(MASTER!$I$14="Fix Pay",0,ROUND(H87*'DATA ENTRY'!L90,0)),0)</f>
        <v>0</v>
      </c>
      <c r="J87" s="165">
        <f>IFERROR(IF(MASTER!$I$14="Fix Pay",0,ROUND(H87*'DATA ENTRY'!M90,0)),0)</f>
        <v>0</v>
      </c>
      <c r="K87" s="166">
        <f t="shared" si="64"/>
        <v>0</v>
      </c>
      <c r="L87" s="166">
        <f t="shared" si="65"/>
        <v>0</v>
      </c>
      <c r="M87" s="166">
        <f t="shared" si="66"/>
        <v>0</v>
      </c>
      <c r="N87" s="166">
        <f t="shared" si="67"/>
        <v>0</v>
      </c>
      <c r="O87" s="166">
        <f t="shared" si="68"/>
        <v>0</v>
      </c>
      <c r="P87" s="385"/>
      <c r="Q87" s="385"/>
      <c r="R87" s="166">
        <f t="shared" si="69"/>
        <v>0</v>
      </c>
      <c r="S87" s="177"/>
      <c r="T87" s="177"/>
      <c r="U87" s="166">
        <f t="shared" si="70"/>
        <v>0</v>
      </c>
      <c r="V87" s="177"/>
      <c r="W87" s="177"/>
      <c r="X87" s="166">
        <f t="shared" si="71"/>
        <v>0</v>
      </c>
      <c r="Y87" s="177"/>
      <c r="Z87" s="177"/>
      <c r="AA87" s="166">
        <f t="shared" si="72"/>
        <v>0</v>
      </c>
      <c r="AB87" s="177"/>
      <c r="AC87" s="177"/>
      <c r="AD87" s="166"/>
      <c r="AE87" s="177"/>
      <c r="AF87" s="165">
        <f t="shared" si="73"/>
        <v>0</v>
      </c>
      <c r="AG87" s="165">
        <f t="shared" si="74"/>
        <v>0</v>
      </c>
      <c r="AH87" s="177"/>
      <c r="AI87" s="177"/>
      <c r="AJ87" s="168"/>
    </row>
    <row r="88" spans="1:36" x14ac:dyDescent="0.3">
      <c r="A88" s="206" t="str">
        <f t="shared" si="62"/>
        <v>v</v>
      </c>
      <c r="B88" s="165" t="str">
        <f>IF(control!A88="","",control!A88)</f>
        <v/>
      </c>
      <c r="C88" s="165" t="str">
        <f>IF(control!C88="","",control!C88)</f>
        <v/>
      </c>
      <c r="D88" s="165" t="str">
        <f>control!E88</f>
        <v/>
      </c>
      <c r="E88" s="165">
        <f>IFERROR(ROUND(D88*'DATA ENTRY'!F91,0),0)</f>
        <v>0</v>
      </c>
      <c r="F88" s="165">
        <f>IFERROR(ROUND(D88*'DATA ENTRY'!G91,0),0)</f>
        <v>0</v>
      </c>
      <c r="G88" s="166">
        <f t="shared" si="63"/>
        <v>0</v>
      </c>
      <c r="H88" s="165" t="str">
        <f>control!G88</f>
        <v/>
      </c>
      <c r="I88" s="165">
        <f>IFERROR(IF(MASTER!$I$14="Fix Pay",0,ROUND(H88*'DATA ENTRY'!L91,0)),0)</f>
        <v>0</v>
      </c>
      <c r="J88" s="165">
        <f>IFERROR(IF(MASTER!$I$14="Fix Pay",0,ROUND(H88*'DATA ENTRY'!M91,0)),0)</f>
        <v>0</v>
      </c>
      <c r="K88" s="166">
        <f t="shared" si="64"/>
        <v>0</v>
      </c>
      <c r="L88" s="166">
        <f t="shared" si="65"/>
        <v>0</v>
      </c>
      <c r="M88" s="166">
        <f t="shared" si="66"/>
        <v>0</v>
      </c>
      <c r="N88" s="166">
        <f t="shared" si="67"/>
        <v>0</v>
      </c>
      <c r="O88" s="166">
        <f t="shared" si="68"/>
        <v>0</v>
      </c>
      <c r="P88" s="385"/>
      <c r="Q88" s="385"/>
      <c r="R88" s="166">
        <f t="shared" si="69"/>
        <v>0</v>
      </c>
      <c r="S88" s="177"/>
      <c r="T88" s="177"/>
      <c r="U88" s="166">
        <f t="shared" si="70"/>
        <v>0</v>
      </c>
      <c r="V88" s="177"/>
      <c r="W88" s="177"/>
      <c r="X88" s="166">
        <f t="shared" si="71"/>
        <v>0</v>
      </c>
      <c r="Y88" s="177"/>
      <c r="Z88" s="177"/>
      <c r="AA88" s="166">
        <f t="shared" si="72"/>
        <v>0</v>
      </c>
      <c r="AB88" s="177"/>
      <c r="AC88" s="177"/>
      <c r="AD88" s="166"/>
      <c r="AE88" s="177"/>
      <c r="AF88" s="165">
        <f t="shared" si="73"/>
        <v>0</v>
      </c>
      <c r="AG88" s="165">
        <f t="shared" si="74"/>
        <v>0</v>
      </c>
      <c r="AH88" s="177"/>
      <c r="AI88" s="177"/>
      <c r="AJ88" s="168"/>
    </row>
    <row r="89" spans="1:36" x14ac:dyDescent="0.3">
      <c r="A89" s="206" t="str">
        <f t="shared" si="62"/>
        <v>v</v>
      </c>
      <c r="B89" s="165" t="str">
        <f>IF(control!A89="","",control!A89)</f>
        <v/>
      </c>
      <c r="C89" s="165" t="str">
        <f>IF(control!C89="","",control!C89)</f>
        <v/>
      </c>
      <c r="D89" s="165" t="str">
        <f>control!E89</f>
        <v/>
      </c>
      <c r="E89" s="165">
        <f>IFERROR(ROUND(D89*'DATA ENTRY'!F92,0),0)</f>
        <v>0</v>
      </c>
      <c r="F89" s="165">
        <f>IFERROR(ROUND(D89*'DATA ENTRY'!G92,0),0)</f>
        <v>0</v>
      </c>
      <c r="G89" s="166">
        <f t="shared" si="63"/>
        <v>0</v>
      </c>
      <c r="H89" s="165" t="str">
        <f>control!G89</f>
        <v/>
      </c>
      <c r="I89" s="165">
        <f>IFERROR(IF(MASTER!$I$14="Fix Pay",0,ROUND(H89*'DATA ENTRY'!L92,0)),0)</f>
        <v>0</v>
      </c>
      <c r="J89" s="165">
        <f>IFERROR(IF(MASTER!$I$14="Fix Pay",0,ROUND(H89*'DATA ENTRY'!M92,0)),0)</f>
        <v>0</v>
      </c>
      <c r="K89" s="166">
        <f t="shared" si="64"/>
        <v>0</v>
      </c>
      <c r="L89" s="166">
        <f t="shared" si="65"/>
        <v>0</v>
      </c>
      <c r="M89" s="166">
        <f t="shared" si="66"/>
        <v>0</v>
      </c>
      <c r="N89" s="166">
        <f t="shared" si="67"/>
        <v>0</v>
      </c>
      <c r="O89" s="166">
        <f t="shared" si="68"/>
        <v>0</v>
      </c>
      <c r="P89" s="385"/>
      <c r="Q89" s="385"/>
      <c r="R89" s="166">
        <f t="shared" si="69"/>
        <v>0</v>
      </c>
      <c r="S89" s="177"/>
      <c r="T89" s="177"/>
      <c r="U89" s="166">
        <f t="shared" si="70"/>
        <v>0</v>
      </c>
      <c r="V89" s="177"/>
      <c r="W89" s="177"/>
      <c r="X89" s="166">
        <f t="shared" si="71"/>
        <v>0</v>
      </c>
      <c r="Y89" s="177"/>
      <c r="Z89" s="177"/>
      <c r="AA89" s="166">
        <f t="shared" si="72"/>
        <v>0</v>
      </c>
      <c r="AB89" s="177"/>
      <c r="AC89" s="177"/>
      <c r="AD89" s="166"/>
      <c r="AE89" s="177"/>
      <c r="AF89" s="165">
        <f t="shared" si="73"/>
        <v>0</v>
      </c>
      <c r="AG89" s="165">
        <f t="shared" si="74"/>
        <v>0</v>
      </c>
      <c r="AH89" s="177"/>
      <c r="AI89" s="177"/>
      <c r="AJ89" s="168"/>
    </row>
    <row r="90" spans="1:36" x14ac:dyDescent="0.3">
      <c r="A90" s="206" t="str">
        <f t="shared" si="62"/>
        <v>v</v>
      </c>
      <c r="B90" s="165" t="str">
        <f>IF(control!A90="","",control!A90)</f>
        <v/>
      </c>
      <c r="C90" s="165" t="str">
        <f>IF(control!C90="","",control!C90)</f>
        <v/>
      </c>
      <c r="D90" s="165" t="str">
        <f>control!E90</f>
        <v/>
      </c>
      <c r="E90" s="165">
        <f>IFERROR(ROUND(D90*'DATA ENTRY'!F93,0),0)</f>
        <v>0</v>
      </c>
      <c r="F90" s="165">
        <f>IFERROR(ROUND(D90*'DATA ENTRY'!G93,0),0)</f>
        <v>0</v>
      </c>
      <c r="G90" s="166">
        <f t="shared" si="63"/>
        <v>0</v>
      </c>
      <c r="H90" s="165" t="str">
        <f>control!G90</f>
        <v/>
      </c>
      <c r="I90" s="165">
        <f>IFERROR(IF(MASTER!$I$14="Fix Pay",0,ROUND(H90*'DATA ENTRY'!L93,0)),0)</f>
        <v>0</v>
      </c>
      <c r="J90" s="165">
        <f>IFERROR(IF(MASTER!$I$14="Fix Pay",0,ROUND(H90*'DATA ENTRY'!M93,0)),0)</f>
        <v>0</v>
      </c>
      <c r="K90" s="166">
        <f t="shared" si="64"/>
        <v>0</v>
      </c>
      <c r="L90" s="166">
        <f t="shared" si="65"/>
        <v>0</v>
      </c>
      <c r="M90" s="166">
        <f t="shared" si="66"/>
        <v>0</v>
      </c>
      <c r="N90" s="166">
        <f t="shared" si="67"/>
        <v>0</v>
      </c>
      <c r="O90" s="166">
        <f t="shared" si="68"/>
        <v>0</v>
      </c>
      <c r="P90" s="385"/>
      <c r="Q90" s="385"/>
      <c r="R90" s="166">
        <f t="shared" si="69"/>
        <v>0</v>
      </c>
      <c r="S90" s="177"/>
      <c r="T90" s="177"/>
      <c r="U90" s="166">
        <f t="shared" si="70"/>
        <v>0</v>
      </c>
      <c r="V90" s="177"/>
      <c r="W90" s="177"/>
      <c r="X90" s="166">
        <f t="shared" si="71"/>
        <v>0</v>
      </c>
      <c r="Y90" s="177"/>
      <c r="Z90" s="177"/>
      <c r="AA90" s="166">
        <f t="shared" si="72"/>
        <v>0</v>
      </c>
      <c r="AB90" s="177"/>
      <c r="AC90" s="177"/>
      <c r="AD90" s="166"/>
      <c r="AE90" s="177"/>
      <c r="AF90" s="165">
        <f t="shared" si="73"/>
        <v>0</v>
      </c>
      <c r="AG90" s="165">
        <f t="shared" si="74"/>
        <v>0</v>
      </c>
      <c r="AH90" s="177"/>
      <c r="AI90" s="177"/>
      <c r="AJ90" s="168"/>
    </row>
    <row r="91" spans="1:36" x14ac:dyDescent="0.3">
      <c r="A91" s="206" t="str">
        <f t="shared" si="62"/>
        <v>v</v>
      </c>
      <c r="B91" s="165" t="str">
        <f>IF(control!A91="","",control!A91)</f>
        <v/>
      </c>
      <c r="C91" s="165" t="str">
        <f>IF(control!C91="","",control!C91)</f>
        <v/>
      </c>
      <c r="D91" s="165" t="str">
        <f>control!E91</f>
        <v/>
      </c>
      <c r="E91" s="165">
        <f>IFERROR(ROUND(D91*'DATA ENTRY'!F94,0),0)</f>
        <v>0</v>
      </c>
      <c r="F91" s="165">
        <f>IFERROR(ROUND(D91*'DATA ENTRY'!G94,0),0)</f>
        <v>0</v>
      </c>
      <c r="G91" s="166">
        <f t="shared" si="63"/>
        <v>0</v>
      </c>
      <c r="H91" s="165" t="str">
        <f>control!G91</f>
        <v/>
      </c>
      <c r="I91" s="165">
        <f>IFERROR(IF(MASTER!$I$14="Fix Pay",0,ROUND(H91*'DATA ENTRY'!L94,0)),0)</f>
        <v>0</v>
      </c>
      <c r="J91" s="165">
        <f>IFERROR(IF(MASTER!$I$14="Fix Pay",0,ROUND(H91*'DATA ENTRY'!M94,0)),0)</f>
        <v>0</v>
      </c>
      <c r="K91" s="166">
        <f t="shared" si="64"/>
        <v>0</v>
      </c>
      <c r="L91" s="166">
        <f t="shared" si="65"/>
        <v>0</v>
      </c>
      <c r="M91" s="166">
        <f t="shared" si="66"/>
        <v>0</v>
      </c>
      <c r="N91" s="166">
        <f t="shared" si="67"/>
        <v>0</v>
      </c>
      <c r="O91" s="166">
        <f t="shared" si="68"/>
        <v>0</v>
      </c>
      <c r="P91" s="385"/>
      <c r="Q91" s="385"/>
      <c r="R91" s="166">
        <f t="shared" si="69"/>
        <v>0</v>
      </c>
      <c r="S91" s="177"/>
      <c r="T91" s="177"/>
      <c r="U91" s="166">
        <f t="shared" si="70"/>
        <v>0</v>
      </c>
      <c r="V91" s="177"/>
      <c r="W91" s="177"/>
      <c r="X91" s="166">
        <f t="shared" si="71"/>
        <v>0</v>
      </c>
      <c r="Y91" s="177"/>
      <c r="Z91" s="177"/>
      <c r="AA91" s="166">
        <f t="shared" si="72"/>
        <v>0</v>
      </c>
      <c r="AB91" s="177"/>
      <c r="AC91" s="177"/>
      <c r="AD91" s="166"/>
      <c r="AE91" s="177"/>
      <c r="AF91" s="165">
        <f t="shared" si="73"/>
        <v>0</v>
      </c>
      <c r="AG91" s="165">
        <f t="shared" si="74"/>
        <v>0</v>
      </c>
      <c r="AH91" s="177"/>
      <c r="AI91" s="177"/>
      <c r="AJ91" s="168"/>
    </row>
    <row r="92" spans="1:36" ht="15" thickBot="1" x14ac:dyDescent="0.35">
      <c r="A92" s="206" t="str">
        <f t="shared" si="62"/>
        <v>v</v>
      </c>
      <c r="B92" s="165" t="str">
        <f>IF(control!A92="","",control!A92)</f>
        <v/>
      </c>
      <c r="C92" s="165" t="str">
        <f>IF(control!C92="","",control!C92)</f>
        <v/>
      </c>
      <c r="D92" s="165" t="str">
        <f>control!E92</f>
        <v/>
      </c>
      <c r="E92" s="165">
        <f>IFERROR(ROUND(D92*'DATA ENTRY'!F95,0),0)</f>
        <v>0</v>
      </c>
      <c r="F92" s="165">
        <f>IFERROR(ROUND(D92*'DATA ENTRY'!G95,0),0)</f>
        <v>0</v>
      </c>
      <c r="G92" s="166">
        <f t="shared" si="63"/>
        <v>0</v>
      </c>
      <c r="H92" s="165" t="str">
        <f>control!G92</f>
        <v/>
      </c>
      <c r="I92" s="165">
        <f>IFERROR(IF(MASTER!$I$14="Fix Pay",0,ROUND(H92*'DATA ENTRY'!L95,0)),0)</f>
        <v>0</v>
      </c>
      <c r="J92" s="165">
        <f>IFERROR(IF(MASTER!$I$14="Fix Pay",0,ROUND(H92*'DATA ENTRY'!M95,0)),0)</f>
        <v>0</v>
      </c>
      <c r="K92" s="166">
        <f t="shared" si="64"/>
        <v>0</v>
      </c>
      <c r="L92" s="166">
        <f t="shared" si="65"/>
        <v>0</v>
      </c>
      <c r="M92" s="166">
        <f t="shared" si="66"/>
        <v>0</v>
      </c>
      <c r="N92" s="166">
        <f t="shared" si="67"/>
        <v>0</v>
      </c>
      <c r="O92" s="166">
        <f t="shared" si="68"/>
        <v>0</v>
      </c>
      <c r="P92" s="385"/>
      <c r="Q92" s="385"/>
      <c r="R92" s="166">
        <f t="shared" si="69"/>
        <v>0</v>
      </c>
      <c r="S92" s="177"/>
      <c r="T92" s="177"/>
      <c r="U92" s="166">
        <f t="shared" si="70"/>
        <v>0</v>
      </c>
      <c r="V92" s="177"/>
      <c r="W92" s="177"/>
      <c r="X92" s="166">
        <f t="shared" si="71"/>
        <v>0</v>
      </c>
      <c r="Y92" s="177"/>
      <c r="Z92" s="177"/>
      <c r="AA92" s="166">
        <f t="shared" si="72"/>
        <v>0</v>
      </c>
      <c r="AB92" s="177"/>
      <c r="AC92" s="177"/>
      <c r="AD92" s="166"/>
      <c r="AE92" s="177"/>
      <c r="AF92" s="165">
        <f t="shared" si="73"/>
        <v>0</v>
      </c>
      <c r="AG92" s="165">
        <f t="shared" si="74"/>
        <v>0</v>
      </c>
      <c r="AH92" s="177"/>
      <c r="AI92" s="177"/>
      <c r="AJ92" s="168"/>
    </row>
    <row r="93" spans="1:36" ht="15.6" thickTop="1" thickBot="1" x14ac:dyDescent="0.35">
      <c r="A93" s="206"/>
      <c r="B93" s="364" t="s">
        <v>148</v>
      </c>
      <c r="C93" s="365"/>
      <c r="D93" s="167">
        <f ca="1">SUM(D9:D92)</f>
        <v>1981600</v>
      </c>
      <c r="E93" s="167">
        <f t="shared" ref="E93:J93" ca="1" si="75">SUM(E9:E92)</f>
        <v>336872</v>
      </c>
      <c r="F93" s="167">
        <f t="shared" ca="1" si="75"/>
        <v>158528</v>
      </c>
      <c r="G93" s="167">
        <f t="shared" ca="1" si="75"/>
        <v>2477000</v>
      </c>
      <c r="H93" s="167">
        <f t="shared" si="75"/>
        <v>2080000</v>
      </c>
      <c r="I93" s="167">
        <f t="shared" si="75"/>
        <v>319655</v>
      </c>
      <c r="J93" s="167">
        <f t="shared" si="75"/>
        <v>155240</v>
      </c>
      <c r="K93" s="167">
        <f t="shared" ref="K93" si="76">SUM(K9:K92)</f>
        <v>2554895</v>
      </c>
      <c r="L93" s="167">
        <f t="shared" ref="L93" ca="1" si="77">SUM(L9:L92)</f>
        <v>-98400</v>
      </c>
      <c r="M93" s="167">
        <f t="shared" ref="M93" ca="1" si="78">SUM(M9:M92)</f>
        <v>17217</v>
      </c>
      <c r="N93" s="167">
        <f t="shared" ref="N93" ca="1" si="79">SUM(N9:N92)</f>
        <v>3288</v>
      </c>
      <c r="O93" s="167">
        <f t="shared" ref="O93:P93" ca="1" si="80">SUM(O9:O92)</f>
        <v>-77895</v>
      </c>
      <c r="P93" s="167">
        <f t="shared" si="80"/>
        <v>0</v>
      </c>
      <c r="Q93" s="167">
        <f t="shared" ref="Q93" si="81">SUM(Q9:Q92)</f>
        <v>0</v>
      </c>
      <c r="R93" s="167">
        <f>SUM(R9:R92)</f>
        <v>0</v>
      </c>
      <c r="S93" s="167">
        <f t="shared" ref="S93" si="82">SUM(S9:S92)</f>
        <v>0</v>
      </c>
      <c r="T93" s="167">
        <f t="shared" ref="T93" si="83">SUM(T9:T92)</f>
        <v>0</v>
      </c>
      <c r="U93" s="167">
        <f>SUM(U9:U92)</f>
        <v>0</v>
      </c>
      <c r="V93" s="167">
        <f t="shared" ref="V93" si="84">SUM(V9:V92)</f>
        <v>0</v>
      </c>
      <c r="W93" s="167">
        <f t="shared" ref="W93" si="85">SUM(W9:W92)</f>
        <v>0</v>
      </c>
      <c r="X93" s="167">
        <f t="shared" ref="X93" si="86">SUM(X9:X92)</f>
        <v>0</v>
      </c>
      <c r="Y93" s="167">
        <f t="shared" ref="Y93" si="87">SUM(Y9:Y92)</f>
        <v>0</v>
      </c>
      <c r="Z93" s="167">
        <f t="shared" ref="Z93" si="88">SUM(Z9:Z92)</f>
        <v>0</v>
      </c>
      <c r="AA93" s="167">
        <f t="shared" ref="AA93" si="89">SUM(AA9:AA92)</f>
        <v>0</v>
      </c>
      <c r="AB93" s="167">
        <f t="shared" ref="AB93" si="90">SUM(AB9:AB92)</f>
        <v>0</v>
      </c>
      <c r="AC93" s="167">
        <f t="shared" ref="AC93" si="91">SUM(AC9:AC92)</f>
        <v>0</v>
      </c>
      <c r="AD93" s="167">
        <f t="shared" ref="AD93" si="92">SUM(AD9:AD92)</f>
        <v>0</v>
      </c>
      <c r="AE93" s="167">
        <f t="shared" ref="AE93" si="93">SUM(AE9:AE92)</f>
        <v>100</v>
      </c>
      <c r="AF93" s="167">
        <f t="shared" ref="AF93" si="94">SUM(AF9:AF92)</f>
        <v>100</v>
      </c>
      <c r="AG93" s="167">
        <f t="shared" ref="AG93" ca="1" si="95">SUM(AG9:AG92)</f>
        <v>-77995</v>
      </c>
      <c r="AH93" s="167">
        <f>SUM(AH9:AH92)</f>
        <v>0</v>
      </c>
      <c r="AI93" s="167">
        <f t="shared" ref="AI93" si="96">SUM(AI9:AI92)</f>
        <v>0</v>
      </c>
      <c r="AJ93" s="168"/>
    </row>
    <row r="94" spans="1:36" ht="15" thickTop="1" x14ac:dyDescent="0.3">
      <c r="A94" s="206"/>
      <c r="AJ94" s="168"/>
    </row>
    <row r="95" spans="1:36" x14ac:dyDescent="0.3">
      <c r="A95" s="206"/>
      <c r="E95" s="1" t="s">
        <v>294</v>
      </c>
      <c r="G95" s="1" t="str">
        <f ca="1">[2]!SpellNumber(AG93)</f>
        <v>SeventySeven Thousand Nine Hundred NinetyFive</v>
      </c>
      <c r="AJ95" s="168"/>
    </row>
    <row r="96" spans="1:36" x14ac:dyDescent="0.3">
      <c r="A96" s="206"/>
      <c r="AD96" s="361" t="str">
        <f>MASTER!M29</f>
        <v xml:space="preserve">प्रधानाचार्य </v>
      </c>
      <c r="AE96" s="361"/>
      <c r="AF96" s="361"/>
      <c r="AG96" s="361"/>
      <c r="AJ96" s="168"/>
    </row>
    <row r="97" spans="1:36" x14ac:dyDescent="0.3">
      <c r="A97" s="206"/>
      <c r="AD97" s="361" t="str">
        <f>MASTER!M30</f>
        <v xml:space="preserve">राजकीय उच्च माध्यमिक विद्यालय </v>
      </c>
      <c r="AE97" s="361"/>
      <c r="AF97" s="361"/>
      <c r="AG97" s="361"/>
      <c r="AJ97" s="168"/>
    </row>
    <row r="98" spans="1:36" x14ac:dyDescent="0.3">
      <c r="A98" s="206"/>
      <c r="AD98" s="361" t="str">
        <f>MASTER!M31</f>
        <v xml:space="preserve">राजपुरा पिपेरण श्रीगंगानगर </v>
      </c>
      <c r="AE98" s="361"/>
      <c r="AF98" s="361"/>
      <c r="AG98" s="361"/>
      <c r="AJ98" s="168"/>
    </row>
    <row r="99" spans="1:36" x14ac:dyDescent="0.3">
      <c r="A99" s="206"/>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row>
    <row r="111" spans="1:36" x14ac:dyDescent="0.3">
      <c r="R111" s="173"/>
    </row>
  </sheetData>
  <sheetProtection password="CE76" sheet="1" objects="1" scenarios="1" formatCells="0" formatColumns="0" formatRows="0" autoFilter="0" pivotTables="0"/>
  <mergeCells count="37">
    <mergeCell ref="B2:AI2"/>
    <mergeCell ref="B3:AI3"/>
    <mergeCell ref="C4:D4"/>
    <mergeCell ref="E4:H4"/>
    <mergeCell ref="AF4:AH4"/>
    <mergeCell ref="M4:O4"/>
    <mergeCell ref="P6:AD6"/>
    <mergeCell ref="AF6:AF8"/>
    <mergeCell ref="AG6:AG8"/>
    <mergeCell ref="AH6:AH8"/>
    <mergeCell ref="AI6:AI8"/>
    <mergeCell ref="Y7:AA7"/>
    <mergeCell ref="AB7:AD7"/>
    <mergeCell ref="V7:X7"/>
    <mergeCell ref="H6:K6"/>
    <mergeCell ref="L6:O6"/>
    <mergeCell ref="I7:I8"/>
    <mergeCell ref="J7:J8"/>
    <mergeCell ref="K7:K8"/>
    <mergeCell ref="L7:L8"/>
    <mergeCell ref="M7:M8"/>
    <mergeCell ref="AD98:AG98"/>
    <mergeCell ref="AD96:AG96"/>
    <mergeCell ref="AD97:AG97"/>
    <mergeCell ref="N7:N8"/>
    <mergeCell ref="B93:C93"/>
    <mergeCell ref="O7:O8"/>
    <mergeCell ref="P7:R7"/>
    <mergeCell ref="S7:U7"/>
    <mergeCell ref="D7:D8"/>
    <mergeCell ref="E7:E8"/>
    <mergeCell ref="F7:F8"/>
    <mergeCell ref="G7:G8"/>
    <mergeCell ref="H7:H8"/>
    <mergeCell ref="B6:B8"/>
    <mergeCell ref="C6:C8"/>
    <mergeCell ref="D6:G6"/>
  </mergeCells>
  <pageMargins left="0.31496062992125984" right="0.31496062992125984" top="0.35433070866141736" bottom="0.35433070866141736" header="0.31496062992125984" footer="0.31496062992125984"/>
  <pageSetup paperSize="9" scale="65" fitToHeight="0" orientation="landscape" r:id="rId1"/>
  <headerFooter>
    <oddFooter>&amp;C&amp;"Cambria,Italic"Programmed by Hans Raj Joshi&amp;RPage &amp;P</oddFooter>
  </headerFooter>
  <drawing r:id="rId2"/>
  <legacyDrawing r:id="rId3"/>
  <controls>
    <mc:AlternateContent xmlns:mc="http://schemas.openxmlformats.org/markup-compatibility/2006">
      <mc:Choice Requires="x14">
        <control shapeId="8214" r:id="rId4" name="CommandButton12">
          <controlPr defaultSize="0" print="0" autoLine="0" autoPict="0" r:id="rId5">
            <anchor moveWithCells="1" sizeWithCells="1">
              <from>
                <xdr:col>39</xdr:col>
                <xdr:colOff>518160</xdr:colOff>
                <xdr:row>22</xdr:row>
                <xdr:rowOff>106680</xdr:rowOff>
              </from>
              <to>
                <xdr:col>41</xdr:col>
                <xdr:colOff>220980</xdr:colOff>
                <xdr:row>24</xdr:row>
                <xdr:rowOff>7620</xdr:rowOff>
              </to>
            </anchor>
          </controlPr>
        </control>
      </mc:Choice>
      <mc:Fallback>
        <control shapeId="8214" r:id="rId4" name="CommandButton12"/>
      </mc:Fallback>
    </mc:AlternateContent>
    <mc:AlternateContent xmlns:mc="http://schemas.openxmlformats.org/markup-compatibility/2006">
      <mc:Choice Requires="x14">
        <control shapeId="8213" r:id="rId6" name="CommandButton11">
          <controlPr defaultSize="0" print="0" autoLine="0" r:id="rId7">
            <anchor moveWithCells="1" sizeWithCells="1">
              <from>
                <xdr:col>39</xdr:col>
                <xdr:colOff>480060</xdr:colOff>
                <xdr:row>20</xdr:row>
                <xdr:rowOff>121920</xdr:rowOff>
              </from>
              <to>
                <xdr:col>41</xdr:col>
                <xdr:colOff>205740</xdr:colOff>
                <xdr:row>22</xdr:row>
                <xdr:rowOff>60960</xdr:rowOff>
              </to>
            </anchor>
          </controlPr>
        </control>
      </mc:Choice>
      <mc:Fallback>
        <control shapeId="8213" r:id="rId6" name="CommandButton11"/>
      </mc:Fallback>
    </mc:AlternateContent>
    <mc:AlternateContent xmlns:mc="http://schemas.openxmlformats.org/markup-compatibility/2006">
      <mc:Choice Requires="x14">
        <control shapeId="8211" r:id="rId8" name="CommandButton10">
          <controlPr defaultSize="0" print="0" autoLine="0" r:id="rId9">
            <anchor moveWithCells="1" sizeWithCells="1">
              <from>
                <xdr:col>39</xdr:col>
                <xdr:colOff>502920</xdr:colOff>
                <xdr:row>18</xdr:row>
                <xdr:rowOff>60960</xdr:rowOff>
              </from>
              <to>
                <xdr:col>41</xdr:col>
                <xdr:colOff>175260</xdr:colOff>
                <xdr:row>20</xdr:row>
                <xdr:rowOff>7620</xdr:rowOff>
              </to>
            </anchor>
          </controlPr>
        </control>
      </mc:Choice>
      <mc:Fallback>
        <control shapeId="8211" r:id="rId8" name="CommandButton10"/>
      </mc:Fallback>
    </mc:AlternateContent>
    <mc:AlternateContent xmlns:mc="http://schemas.openxmlformats.org/markup-compatibility/2006">
      <mc:Choice Requires="x14">
        <control shapeId="8210" r:id="rId10" name="CommandButton9">
          <controlPr defaultSize="0" print="0" autoLine="0" r:id="rId11">
            <anchor moveWithCells="1" sizeWithCells="1">
              <from>
                <xdr:col>37</xdr:col>
                <xdr:colOff>571500</xdr:colOff>
                <xdr:row>22</xdr:row>
                <xdr:rowOff>121920</xdr:rowOff>
              </from>
              <to>
                <xdr:col>39</xdr:col>
                <xdr:colOff>274320</xdr:colOff>
                <xdr:row>24</xdr:row>
                <xdr:rowOff>30480</xdr:rowOff>
              </to>
            </anchor>
          </controlPr>
        </control>
      </mc:Choice>
      <mc:Fallback>
        <control shapeId="8210" r:id="rId10" name="CommandButton9"/>
      </mc:Fallback>
    </mc:AlternateContent>
    <mc:AlternateContent xmlns:mc="http://schemas.openxmlformats.org/markup-compatibility/2006">
      <mc:Choice Requires="x14">
        <control shapeId="8208" r:id="rId12" name="CommandButton8">
          <controlPr defaultSize="0" print="0" autoLine="0" r:id="rId13">
            <anchor moveWithCells="1" sizeWithCells="1">
              <from>
                <xdr:col>37</xdr:col>
                <xdr:colOff>594360</xdr:colOff>
                <xdr:row>20</xdr:row>
                <xdr:rowOff>137160</xdr:rowOff>
              </from>
              <to>
                <xdr:col>39</xdr:col>
                <xdr:colOff>243840</xdr:colOff>
                <xdr:row>22</xdr:row>
                <xdr:rowOff>83820</xdr:rowOff>
              </to>
            </anchor>
          </controlPr>
        </control>
      </mc:Choice>
      <mc:Fallback>
        <control shapeId="8208" r:id="rId12" name="CommandButton8"/>
      </mc:Fallback>
    </mc:AlternateContent>
    <mc:AlternateContent xmlns:mc="http://schemas.openxmlformats.org/markup-compatibility/2006">
      <mc:Choice Requires="x14">
        <control shapeId="8206" r:id="rId14" name="CommandButton7">
          <controlPr defaultSize="0" print="0" autoLine="0" r:id="rId15">
            <anchor moveWithCells="1" sizeWithCells="1">
              <from>
                <xdr:col>37</xdr:col>
                <xdr:colOff>579120</xdr:colOff>
                <xdr:row>18</xdr:row>
                <xdr:rowOff>91440</xdr:rowOff>
              </from>
              <to>
                <xdr:col>39</xdr:col>
                <xdr:colOff>236220</xdr:colOff>
                <xdr:row>20</xdr:row>
                <xdr:rowOff>30480</xdr:rowOff>
              </to>
            </anchor>
          </controlPr>
        </control>
      </mc:Choice>
      <mc:Fallback>
        <control shapeId="8206" r:id="rId14" name="CommandButton7"/>
      </mc:Fallback>
    </mc:AlternateContent>
    <mc:AlternateContent xmlns:mc="http://schemas.openxmlformats.org/markup-compatibility/2006">
      <mc:Choice Requires="x14">
        <control shapeId="8204" r:id="rId16" name="CommandButton6">
          <controlPr defaultSize="0" print="0" autoLine="0" r:id="rId17">
            <anchor moveWithCells="1" sizeWithCells="1">
              <from>
                <xdr:col>39</xdr:col>
                <xdr:colOff>502920</xdr:colOff>
                <xdr:row>13</xdr:row>
                <xdr:rowOff>175260</xdr:rowOff>
              </from>
              <to>
                <xdr:col>41</xdr:col>
                <xdr:colOff>144780</xdr:colOff>
                <xdr:row>15</xdr:row>
                <xdr:rowOff>106680</xdr:rowOff>
              </to>
            </anchor>
          </controlPr>
        </control>
      </mc:Choice>
      <mc:Fallback>
        <control shapeId="8204" r:id="rId16" name="CommandButton6"/>
      </mc:Fallback>
    </mc:AlternateContent>
    <mc:AlternateContent xmlns:mc="http://schemas.openxmlformats.org/markup-compatibility/2006">
      <mc:Choice Requires="x14">
        <control shapeId="8202" r:id="rId18" name="CommandButton5">
          <controlPr defaultSize="0" print="0" autoLine="0" r:id="rId19">
            <anchor moveWithCells="1" sizeWithCells="1">
              <from>
                <xdr:col>37</xdr:col>
                <xdr:colOff>563880</xdr:colOff>
                <xdr:row>13</xdr:row>
                <xdr:rowOff>175260</xdr:rowOff>
              </from>
              <to>
                <xdr:col>39</xdr:col>
                <xdr:colOff>243840</xdr:colOff>
                <xdr:row>15</xdr:row>
                <xdr:rowOff>114300</xdr:rowOff>
              </to>
            </anchor>
          </controlPr>
        </control>
      </mc:Choice>
      <mc:Fallback>
        <control shapeId="8202" r:id="rId18" name="CommandButton5"/>
      </mc:Fallback>
    </mc:AlternateContent>
    <mc:AlternateContent xmlns:mc="http://schemas.openxmlformats.org/markup-compatibility/2006">
      <mc:Choice Requires="x14">
        <control shapeId="8200" r:id="rId20" name="CommandButton4">
          <controlPr defaultSize="0" print="0" autoLine="0" r:id="rId21">
            <anchor moveWithCells="1" sizeWithCells="1">
              <from>
                <xdr:col>39</xdr:col>
                <xdr:colOff>502920</xdr:colOff>
                <xdr:row>16</xdr:row>
                <xdr:rowOff>22860</xdr:rowOff>
              </from>
              <to>
                <xdr:col>41</xdr:col>
                <xdr:colOff>175260</xdr:colOff>
                <xdr:row>17</xdr:row>
                <xdr:rowOff>137160</xdr:rowOff>
              </to>
            </anchor>
          </controlPr>
        </control>
      </mc:Choice>
      <mc:Fallback>
        <control shapeId="8200" r:id="rId20" name="CommandButton4"/>
      </mc:Fallback>
    </mc:AlternateContent>
    <mc:AlternateContent xmlns:mc="http://schemas.openxmlformats.org/markup-compatibility/2006">
      <mc:Choice Requires="x14">
        <control shapeId="8197" r:id="rId22" name="CommandButton3">
          <controlPr defaultSize="0" print="0" autoLine="0" r:id="rId23">
            <anchor moveWithCells="1" sizeWithCells="1">
              <from>
                <xdr:col>37</xdr:col>
                <xdr:colOff>579120</xdr:colOff>
                <xdr:row>16</xdr:row>
                <xdr:rowOff>38100</xdr:rowOff>
              </from>
              <to>
                <xdr:col>39</xdr:col>
                <xdr:colOff>236220</xdr:colOff>
                <xdr:row>17</xdr:row>
                <xdr:rowOff>167640</xdr:rowOff>
              </to>
            </anchor>
          </controlPr>
        </control>
      </mc:Choice>
      <mc:Fallback>
        <control shapeId="8197" r:id="rId22" name="CommandButton3"/>
      </mc:Fallback>
    </mc:AlternateContent>
    <mc:AlternateContent xmlns:mc="http://schemas.openxmlformats.org/markup-compatibility/2006">
      <mc:Choice Requires="x14">
        <control shapeId="8195" r:id="rId24" name="CommandButton2">
          <controlPr defaultSize="0" print="0" autoLine="0" r:id="rId25">
            <anchor moveWithCells="1" sizeWithCells="1">
              <from>
                <xdr:col>39</xdr:col>
                <xdr:colOff>495300</xdr:colOff>
                <xdr:row>11</xdr:row>
                <xdr:rowOff>137160</xdr:rowOff>
              </from>
              <to>
                <xdr:col>41</xdr:col>
                <xdr:colOff>137160</xdr:colOff>
                <xdr:row>13</xdr:row>
                <xdr:rowOff>60960</xdr:rowOff>
              </to>
            </anchor>
          </controlPr>
        </control>
      </mc:Choice>
      <mc:Fallback>
        <control shapeId="8195" r:id="rId24" name="CommandButton2"/>
      </mc:Fallback>
    </mc:AlternateContent>
    <mc:AlternateContent xmlns:mc="http://schemas.openxmlformats.org/markup-compatibility/2006">
      <mc:Choice Requires="x14">
        <control shapeId="8194" r:id="rId26" name="CommandButton1">
          <controlPr defaultSize="0" print="0" autoLine="0" autoPict="0" r:id="rId27">
            <anchor moveWithCells="1" sizeWithCells="1">
              <from>
                <xdr:col>37</xdr:col>
                <xdr:colOff>541020</xdr:colOff>
                <xdr:row>11</xdr:row>
                <xdr:rowOff>137160</xdr:rowOff>
              </from>
              <to>
                <xdr:col>39</xdr:col>
                <xdr:colOff>251460</xdr:colOff>
                <xdr:row>13</xdr:row>
                <xdr:rowOff>60960</xdr:rowOff>
              </to>
            </anchor>
          </controlPr>
        </control>
      </mc:Choice>
      <mc:Fallback>
        <control shapeId="8194" r:id="rId26" name="CommandButton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M92"/>
  <sheetViews>
    <sheetView zoomScaleNormal="100" zoomScaleSheetLayoutView="99" workbookViewId="0">
      <selection activeCell="K90" sqref="K90"/>
    </sheetView>
  </sheetViews>
  <sheetFormatPr defaultRowHeight="14.4" x14ac:dyDescent="0.3"/>
  <cols>
    <col min="1" max="1" width="6.6640625" customWidth="1"/>
    <col min="2" max="2" width="11.5546875" customWidth="1"/>
    <col min="3" max="3" width="10.44140625" bestFit="1" customWidth="1"/>
    <col min="5" max="5" width="10.44140625" bestFit="1" customWidth="1"/>
    <col min="7" max="7" width="9.88671875" bestFit="1" customWidth="1"/>
    <col min="9" max="9" width="10.44140625" bestFit="1" customWidth="1"/>
    <col min="11" max="11" width="10.44140625" bestFit="1" customWidth="1"/>
    <col min="14" max="14" width="10.44140625" bestFit="1" customWidth="1"/>
    <col min="25" max="25" width="113.109375" customWidth="1"/>
    <col min="26" max="26" width="9.6640625" customWidth="1"/>
    <col min="27" max="27" width="109.6640625" customWidth="1"/>
  </cols>
  <sheetData>
    <row r="1" spans="1:39" x14ac:dyDescent="0.3">
      <c r="C1" t="s">
        <v>127</v>
      </c>
    </row>
    <row r="2" spans="1:39" ht="14.55" customHeight="1" x14ac:dyDescent="0.3">
      <c r="B2" t="s">
        <v>309</v>
      </c>
      <c r="C2" t="str">
        <f>MASTER!I6</f>
        <v>State Service</v>
      </c>
      <c r="E2" t="s">
        <v>313</v>
      </c>
      <c r="F2" t="str">
        <f>RIGHT(MASTER!I7,2)</f>
        <v>_9</v>
      </c>
      <c r="J2" s="383" t="s">
        <v>197</v>
      </c>
      <c r="K2" s="381" t="s">
        <v>196</v>
      </c>
      <c r="L2" s="381"/>
      <c r="M2" s="381"/>
      <c r="N2" s="381"/>
      <c r="O2" s="381"/>
      <c r="P2" s="381"/>
      <c r="Q2" s="381"/>
      <c r="R2" s="381"/>
      <c r="S2" s="381"/>
      <c r="T2" s="381"/>
      <c r="U2" s="381"/>
      <c r="V2" s="381"/>
      <c r="W2" s="381"/>
    </row>
    <row r="3" spans="1:39" ht="88.95" customHeight="1" x14ac:dyDescent="0.3">
      <c r="J3" s="383"/>
      <c r="K3" s="381"/>
      <c r="L3" s="381"/>
      <c r="M3" s="381"/>
      <c r="N3" s="381"/>
      <c r="O3" s="381"/>
      <c r="P3" s="381"/>
      <c r="Q3" s="381"/>
      <c r="R3" s="381"/>
      <c r="S3" s="381"/>
      <c r="T3" s="381"/>
      <c r="U3" s="381"/>
      <c r="V3" s="381"/>
      <c r="W3" s="381"/>
      <c r="X3" s="380" t="s">
        <v>193</v>
      </c>
      <c r="Y3" s="204" t="s">
        <v>208</v>
      </c>
      <c r="Z3" s="204" t="s">
        <v>289</v>
      </c>
      <c r="AA3" s="204" t="s">
        <v>290</v>
      </c>
      <c r="AB3" s="204"/>
      <c r="AC3" s="204"/>
      <c r="AD3" s="204"/>
      <c r="AE3" s="204"/>
      <c r="AF3" s="204"/>
      <c r="AG3" s="204"/>
      <c r="AH3" s="204"/>
      <c r="AI3" s="204"/>
      <c r="AJ3" s="204"/>
      <c r="AK3" s="204"/>
      <c r="AL3" s="204"/>
      <c r="AM3" s="204"/>
    </row>
    <row r="4" spans="1:39" x14ac:dyDescent="0.3">
      <c r="B4" s="82" t="s">
        <v>128</v>
      </c>
      <c r="C4" s="83">
        <f>'DATA ENTRY'!H8</f>
        <v>43647</v>
      </c>
      <c r="D4" s="82" t="s">
        <v>129</v>
      </c>
      <c r="E4" s="83">
        <f>'DATA ENTRY'!J8</f>
        <v>44957</v>
      </c>
      <c r="F4" s="381" t="s">
        <v>151</v>
      </c>
      <c r="G4" s="381"/>
      <c r="H4" s="95">
        <f>DAY(EOMONTH(C4,0))</f>
        <v>31</v>
      </c>
      <c r="J4" s="383"/>
      <c r="K4" s="381"/>
      <c r="L4" s="381"/>
      <c r="M4" s="381"/>
      <c r="N4" s="381"/>
      <c r="O4" s="381"/>
      <c r="P4" s="381"/>
      <c r="Q4" s="381"/>
      <c r="R4" s="381"/>
      <c r="S4" s="381"/>
      <c r="T4" s="381"/>
      <c r="U4" s="381"/>
      <c r="V4" s="381"/>
      <c r="W4" s="381"/>
      <c r="X4" s="380"/>
      <c r="Y4" s="204"/>
      <c r="Z4" s="204"/>
      <c r="AA4" s="204"/>
      <c r="AB4" s="204"/>
      <c r="AC4" s="204"/>
      <c r="AD4" s="204"/>
      <c r="AE4" s="204"/>
      <c r="AF4" s="204"/>
      <c r="AG4" s="204"/>
      <c r="AH4" s="204"/>
      <c r="AI4" s="204"/>
      <c r="AJ4" s="204"/>
      <c r="AK4" s="204"/>
      <c r="AL4" s="204"/>
      <c r="AM4" s="204"/>
    </row>
    <row r="5" spans="1:39" x14ac:dyDescent="0.3">
      <c r="B5" t="s">
        <v>150</v>
      </c>
      <c r="C5" s="81">
        <f>EOMONTH(C4,0)</f>
        <v>43677</v>
      </c>
      <c r="F5" s="381"/>
      <c r="G5" s="381"/>
      <c r="I5" s="85">
        <v>43891</v>
      </c>
      <c r="J5" s="383"/>
      <c r="K5" s="381"/>
      <c r="L5" s="381"/>
      <c r="M5" s="381"/>
      <c r="N5" s="381"/>
      <c r="O5" s="381"/>
      <c r="P5" s="381"/>
      <c r="Q5" s="381"/>
      <c r="R5" s="381"/>
      <c r="S5" s="381"/>
      <c r="T5" s="381"/>
      <c r="U5" s="381"/>
      <c r="V5" s="381"/>
      <c r="W5" s="381"/>
      <c r="X5" s="380"/>
      <c r="Y5" s="204"/>
      <c r="Z5" s="204"/>
      <c r="AA5" s="204"/>
      <c r="AB5" s="204"/>
      <c r="AC5" s="204"/>
      <c r="AD5" s="204"/>
      <c r="AE5" s="204"/>
      <c r="AF5" s="204"/>
      <c r="AG5" s="204"/>
      <c r="AH5" s="204"/>
      <c r="AI5" s="204"/>
      <c r="AJ5" s="204"/>
      <c r="AK5" s="204"/>
      <c r="AL5" s="204"/>
      <c r="AM5" s="204"/>
    </row>
    <row r="6" spans="1:39" ht="15" thickBot="1" x14ac:dyDescent="0.35">
      <c r="B6" t="s">
        <v>149</v>
      </c>
      <c r="C6" s="86">
        <f>DATEDIF(C4,C5,"D")+1</f>
        <v>31</v>
      </c>
      <c r="E6" s="109">
        <f ca="1">ROUND($D$9/$H$4*$C$6,0)</f>
        <v>44300</v>
      </c>
      <c r="G6" s="109">
        <f>ROUND(F9/H4*C6,0)</f>
        <v>46500</v>
      </c>
      <c r="I6" t="str">
        <f>TEXT(I5,"mmm"&amp;"-"&amp;"yy")</f>
        <v>Mar-20</v>
      </c>
      <c r="J6" s="383"/>
      <c r="K6" s="381"/>
      <c r="L6" s="381"/>
      <c r="M6" s="381"/>
      <c r="N6" s="381"/>
      <c r="O6" s="381"/>
      <c r="P6" s="381"/>
      <c r="Q6" s="381"/>
      <c r="R6" s="381"/>
      <c r="S6" s="381"/>
      <c r="T6" s="381"/>
      <c r="U6" s="381"/>
      <c r="V6" s="381"/>
      <c r="W6" s="381"/>
      <c r="X6" s="380"/>
      <c r="Y6" s="204"/>
      <c r="Z6" s="204"/>
      <c r="AA6" s="204"/>
      <c r="AB6" s="204"/>
      <c r="AC6" s="204"/>
      <c r="AD6" s="204"/>
      <c r="AE6" s="204"/>
      <c r="AF6" s="204"/>
      <c r="AG6" s="204"/>
      <c r="AH6" s="204"/>
      <c r="AI6" s="204"/>
      <c r="AJ6" s="204"/>
      <c r="AK6" s="204"/>
      <c r="AL6" s="204"/>
      <c r="AM6" s="204"/>
    </row>
    <row r="7" spans="1:39" ht="30" thickTop="1" thickBot="1" x14ac:dyDescent="0.35">
      <c r="A7" s="111"/>
      <c r="B7" s="378" t="s">
        <v>154</v>
      </c>
      <c r="C7" s="379"/>
      <c r="D7" s="382" t="s">
        <v>152</v>
      </c>
      <c r="E7" s="382"/>
      <c r="F7" s="382" t="s">
        <v>153</v>
      </c>
      <c r="G7" s="382"/>
      <c r="I7">
        <f ca="1">VLOOKUP($I$6,$C$9:$E56,3,0)</f>
        <v>44300</v>
      </c>
      <c r="X7" s="380"/>
      <c r="Y7" s="204" t="str">
        <f>CONCATENATE("इस विद्यालय में कार्यरत निम्नांकित कार्मिक का" &amp;"  "&amp;MASTER!D29&amp;" से "&amp;MASTER!H29&amp;" पद पर पदोन्नति होने पर निम्नानुसार वेतन नियतन किया जाता है।")</f>
        <v>इस विद्यालय में कार्यरत निम्नांकित कार्मिक का  SR.TEACHER से LECTURER पद पर पदोन्नति होने पर निम्नानुसार वेतन नियतन किया जाता है।</v>
      </c>
      <c r="Z7" s="204"/>
      <c r="AA7" s="204"/>
      <c r="AB7" s="204"/>
      <c r="AC7" s="204"/>
      <c r="AD7" s="204"/>
      <c r="AE7" s="204"/>
      <c r="AF7" s="204"/>
      <c r="AG7" s="204"/>
      <c r="AH7" s="204"/>
      <c r="AI7" s="204"/>
      <c r="AJ7" s="204"/>
      <c r="AK7" s="204"/>
      <c r="AL7" s="204"/>
      <c r="AM7" s="204"/>
    </row>
    <row r="8" spans="1:39" ht="15.6" thickTop="1" thickBot="1" x14ac:dyDescent="0.35">
      <c r="A8" s="111"/>
      <c r="B8" s="111"/>
      <c r="C8" s="112"/>
      <c r="D8" s="111" t="s">
        <v>225</v>
      </c>
      <c r="E8" s="111" t="s">
        <v>226</v>
      </c>
      <c r="F8" s="111" t="s">
        <v>225</v>
      </c>
      <c r="G8" s="111" t="s">
        <v>226</v>
      </c>
      <c r="K8" t="s">
        <v>227</v>
      </c>
      <c r="X8" s="380"/>
      <c r="Y8" s="204"/>
      <c r="Z8" s="204"/>
      <c r="AA8" s="204"/>
      <c r="AB8" s="204"/>
      <c r="AC8" s="204"/>
      <c r="AD8" s="204"/>
      <c r="AE8" s="204"/>
      <c r="AF8" s="204"/>
      <c r="AG8" s="204"/>
      <c r="AH8" s="204"/>
      <c r="AI8" s="204"/>
      <c r="AJ8" s="204"/>
      <c r="AK8" s="204"/>
      <c r="AL8" s="204"/>
      <c r="AM8" s="204"/>
    </row>
    <row r="9" spans="1:39" ht="15" thickTop="1" x14ac:dyDescent="0.3">
      <c r="A9" s="107">
        <f>IF(B9="","",1)</f>
        <v>1</v>
      </c>
      <c r="B9" s="108">
        <f>IF(C4="","",DATE(YEAR(C4),MONTH(C4),DAY(C4)))</f>
        <v>43647</v>
      </c>
      <c r="C9" s="107" t="str">
        <f>TEXT(B9,"mmm"&amp;"-"&amp;"YY")</f>
        <v>Jul-19</v>
      </c>
      <c r="D9" s="110">
        <f ca="1">'DATA ENTRY'!D12</f>
        <v>44300</v>
      </c>
      <c r="E9" s="84">
        <f ca="1">IF('DATA ENTRY'!C12="","",ROUND(IF('DATA ENTRY'!E12="",'DATA ENTRY'!D12,'DATA ENTRY'!E12)/$H$4*$C$6,0))</f>
        <v>44300</v>
      </c>
      <c r="F9" s="110">
        <f>'DATA ENTRY'!J12</f>
        <v>46500</v>
      </c>
      <c r="G9" s="84">
        <f>IF('DATA ENTRY'!I12="","",ROUND(IF('DATA ENTRY'!K12="",'DATA ENTRY'!J12,'DATA ENTRY'!K12)/$H$4*$C$6,0))</f>
        <v>46500</v>
      </c>
      <c r="I9">
        <f ca="1">IF(OR($C$2="All India Services",$C$2="State Service"),ROUND(I7/31*5,0),IF(AND($C$2="Subordinate",$Z$18&gt;9),ROUND(I7/31*3,0),IF(AND($C$2="Subordinate",OR(F2&gt;4,F2&lt;10)),ROUND(I7/31*2,0),IF($C$2="Ministrial",ROUND(I7/31*2,0),IF(OR($C$2="Class IV",$F$2&lt;5),ROUND(I7/31*1,0))))))</f>
        <v>7145</v>
      </c>
      <c r="K9" s="84"/>
      <c r="L9" s="84"/>
      <c r="M9" s="84"/>
      <c r="N9" s="47" t="s">
        <v>283</v>
      </c>
      <c r="O9" s="47"/>
      <c r="P9" s="84"/>
      <c r="X9" s="380"/>
      <c r="Y9" s="204"/>
      <c r="Z9" s="204"/>
      <c r="AA9" s="204"/>
      <c r="AB9" s="204"/>
      <c r="AC9" s="204"/>
      <c r="AD9" s="204"/>
      <c r="AE9" s="204"/>
      <c r="AF9" s="204"/>
      <c r="AG9" s="204"/>
      <c r="AH9" s="204"/>
      <c r="AI9" s="204"/>
      <c r="AJ9" s="204"/>
      <c r="AK9" s="204"/>
      <c r="AL9" s="204"/>
      <c r="AM9" s="204"/>
    </row>
    <row r="10" spans="1:39" x14ac:dyDescent="0.3">
      <c r="A10" s="84">
        <f>IF(B10="","",A9+1)</f>
        <v>2</v>
      </c>
      <c r="B10" s="85">
        <f>IF(B9="","",IF(EOMONTH(B9,0)+1&gt;$E$4,"",EOMONTH(B9,0)+1))</f>
        <v>43678</v>
      </c>
      <c r="C10" s="84" t="str">
        <f t="shared" ref="C10:C44" si="0">TEXT(B10,"mmm"&amp;"-"&amp;"YY")</f>
        <v>Aug-19</v>
      </c>
      <c r="D10" s="110">
        <f ca="1">'DATA ENTRY'!D13</f>
        <v>44300</v>
      </c>
      <c r="E10" s="84">
        <f ca="1">IF('DATA ENTRY'!C13="","",IF('DATA ENTRY'!E13="",'DATA ENTRY'!D13,'DATA ENTRY'!E13))</f>
        <v>44300</v>
      </c>
      <c r="F10" s="110">
        <f>'DATA ENTRY'!J13</f>
        <v>46500</v>
      </c>
      <c r="G10" s="84">
        <f>IF('DATA ENTRY'!I13="","",IF('DATA ENTRY'!K13="",'DATA ENTRY'!J13,'DATA ENTRY'!K13))</f>
        <v>46500</v>
      </c>
      <c r="K10" s="47" t="s">
        <v>282</v>
      </c>
      <c r="L10" s="47"/>
      <c r="M10" s="47"/>
      <c r="N10" s="84" t="s">
        <v>284</v>
      </c>
      <c r="O10" s="84" t="s">
        <v>285</v>
      </c>
      <c r="P10" s="84" t="s">
        <v>286</v>
      </c>
      <c r="X10" s="380"/>
      <c r="Y10" s="204"/>
      <c r="Z10" s="204"/>
      <c r="AA10" s="204"/>
      <c r="AB10" s="204"/>
      <c r="AC10" s="204"/>
      <c r="AD10" s="204"/>
      <c r="AE10" s="204"/>
      <c r="AF10" s="204"/>
      <c r="AG10" s="204"/>
      <c r="AH10" s="204"/>
      <c r="AI10" s="204"/>
      <c r="AJ10" s="204"/>
      <c r="AK10" s="204"/>
      <c r="AL10" s="204"/>
      <c r="AM10" s="204"/>
    </row>
    <row r="11" spans="1:39" x14ac:dyDescent="0.3">
      <c r="A11" s="84">
        <f t="shared" ref="A11:A42" si="1">IF(B11="","",A10+1)</f>
        <v>3</v>
      </c>
      <c r="B11" s="85">
        <f t="shared" ref="B11:B32" si="2">IF(B10="","",IF(EOMONTH(B10,0)+1&gt;$E$4,"",EOMONTH(B10,0)+1))</f>
        <v>43709</v>
      </c>
      <c r="C11" s="84" t="str">
        <f t="shared" si="0"/>
        <v>Sep-19</v>
      </c>
      <c r="D11" s="110">
        <f ca="1">'DATA ENTRY'!D14</f>
        <v>44300</v>
      </c>
      <c r="E11" s="84">
        <f ca="1">IF('DATA ENTRY'!C14="","",IF('DATA ENTRY'!E14="",'DATA ENTRY'!D14,'DATA ENTRY'!E14))</f>
        <v>44300</v>
      </c>
      <c r="F11" s="110">
        <f>'DATA ENTRY'!J14</f>
        <v>46500</v>
      </c>
      <c r="G11" s="84">
        <f>IF('DATA ENTRY'!I14="","",IF('DATA ENTRY'!K14="",'DATA ENTRY'!J14,'DATA ENTRY'!K14))</f>
        <v>46500</v>
      </c>
      <c r="K11" s="47"/>
      <c r="L11" s="47"/>
      <c r="M11" s="47"/>
      <c r="N11" s="47"/>
      <c r="O11" s="47"/>
      <c r="P11" s="47"/>
    </row>
    <row r="12" spans="1:39" x14ac:dyDescent="0.3">
      <c r="A12" s="84">
        <f t="shared" si="1"/>
        <v>4</v>
      </c>
      <c r="B12" s="85">
        <f t="shared" si="2"/>
        <v>43739</v>
      </c>
      <c r="C12" s="84" t="str">
        <f t="shared" si="0"/>
        <v>Oct-19</v>
      </c>
      <c r="D12" s="110">
        <f ca="1">'DATA ENTRY'!D15</f>
        <v>44300</v>
      </c>
      <c r="E12" s="84">
        <f ca="1">IF('DATA ENTRY'!C15="","",IF('DATA ENTRY'!E15="",'DATA ENTRY'!D15,'DATA ENTRY'!E15))</f>
        <v>44300</v>
      </c>
      <c r="F12" s="110">
        <f>'DATA ENTRY'!J15</f>
        <v>46500</v>
      </c>
      <c r="G12" s="84">
        <f>IF('DATA ENTRY'!I15="","",IF('DATA ENTRY'!K15="",'DATA ENTRY'!J15,'DATA ENTRY'!K15))</f>
        <v>46500</v>
      </c>
      <c r="K12" s="84" t="s">
        <v>179</v>
      </c>
      <c r="L12" s="84"/>
      <c r="M12" s="84"/>
      <c r="N12" s="85">
        <f>ORDER!J11</f>
        <v>43647</v>
      </c>
      <c r="O12" s="84" t="str">
        <f>ORDER!L11</f>
        <v>L_12</v>
      </c>
      <c r="P12" s="84">
        <f>ORDER!M11</f>
        <v>44300</v>
      </c>
      <c r="Q12" t="str">
        <f>IF($K$13&gt;N12,"NOTIONAL","REAL")</f>
        <v>REAL</v>
      </c>
    </row>
    <row r="13" spans="1:39" x14ac:dyDescent="0.3">
      <c r="A13" s="84">
        <f t="shared" si="1"/>
        <v>5</v>
      </c>
      <c r="B13" s="85">
        <f t="shared" si="2"/>
        <v>43770</v>
      </c>
      <c r="C13" s="84" t="str">
        <f t="shared" si="0"/>
        <v>Nov-19</v>
      </c>
      <c r="D13" s="110">
        <f ca="1">'DATA ENTRY'!D16</f>
        <v>44300</v>
      </c>
      <c r="E13" s="84">
        <f ca="1">IF('DATA ENTRY'!C16="","",IF('DATA ENTRY'!E16="",'DATA ENTRY'!D16,'DATA ENTRY'!E16))</f>
        <v>44300</v>
      </c>
      <c r="F13" s="110">
        <f>'DATA ENTRY'!J16</f>
        <v>46500</v>
      </c>
      <c r="G13" s="84">
        <f>IF('DATA ENTRY'!I16="","",IF('DATA ENTRY'!K16="",'DATA ENTRY'!J16,'DATA ENTRY'!K16))</f>
        <v>46500</v>
      </c>
      <c r="K13" s="85">
        <f>ORDER!G15</f>
        <v>43647</v>
      </c>
      <c r="L13" s="84"/>
      <c r="M13" s="84"/>
      <c r="N13" s="85">
        <f ca="1">ORDER!J12</f>
        <v>44013</v>
      </c>
      <c r="O13" s="84" t="str">
        <f ca="1">ORDER!L12</f>
        <v>L_12</v>
      </c>
      <c r="P13" s="84">
        <f ca="1">ORDER!M12</f>
        <v>45600</v>
      </c>
      <c r="Q13" t="str">
        <f t="shared" ref="Q13:Q16" ca="1" si="3">IF($K$13&gt;N13,"NOTIONAL","REAL")</f>
        <v>REAL</v>
      </c>
    </row>
    <row r="14" spans="1:39" x14ac:dyDescent="0.3">
      <c r="A14" s="84">
        <f t="shared" si="1"/>
        <v>6</v>
      </c>
      <c r="B14" s="85">
        <f t="shared" si="2"/>
        <v>43800</v>
      </c>
      <c r="C14" s="84" t="str">
        <f t="shared" si="0"/>
        <v>Dec-19</v>
      </c>
      <c r="D14" s="110">
        <f ca="1">'DATA ENTRY'!D17</f>
        <v>44300</v>
      </c>
      <c r="E14" s="84">
        <f ca="1">IF('DATA ENTRY'!C17="","",IF('DATA ENTRY'!E17="",'DATA ENTRY'!D17,'DATA ENTRY'!E17))</f>
        <v>44300</v>
      </c>
      <c r="F14" s="110">
        <f>'DATA ENTRY'!J17</f>
        <v>46500</v>
      </c>
      <c r="G14" s="84">
        <f>IF('DATA ENTRY'!I17="","",IF('DATA ENTRY'!K17="",'DATA ENTRY'!J17,'DATA ENTRY'!K17))</f>
        <v>46500</v>
      </c>
      <c r="K14" s="84"/>
      <c r="L14" s="84"/>
      <c r="M14" s="84"/>
      <c r="N14" s="85">
        <f ca="1">ORDER!J13</f>
        <v>44378</v>
      </c>
      <c r="O14" s="84" t="str">
        <f ca="1">ORDER!L13</f>
        <v>L_12</v>
      </c>
      <c r="P14" s="84">
        <f ca="1">ORDER!M13</f>
        <v>47000</v>
      </c>
      <c r="Q14" t="str">
        <f t="shared" ca="1" si="3"/>
        <v>REAL</v>
      </c>
    </row>
    <row r="15" spans="1:39" x14ac:dyDescent="0.3">
      <c r="A15" s="84">
        <f t="shared" si="1"/>
        <v>7</v>
      </c>
      <c r="B15" s="85">
        <f t="shared" si="2"/>
        <v>43831</v>
      </c>
      <c r="C15" s="84" t="str">
        <f t="shared" si="0"/>
        <v>Jan-20</v>
      </c>
      <c r="D15" s="110">
        <f ca="1">'DATA ENTRY'!D18</f>
        <v>44300</v>
      </c>
      <c r="E15" s="84">
        <f ca="1">IF('DATA ENTRY'!C18="","",IF('DATA ENTRY'!E18="",'DATA ENTRY'!D18,'DATA ENTRY'!E18))</f>
        <v>44300</v>
      </c>
      <c r="F15" s="110">
        <f>'DATA ENTRY'!J18</f>
        <v>46500</v>
      </c>
      <c r="G15" s="84">
        <f>IF('DATA ENTRY'!I18="","",IF('DATA ENTRY'!K18="",'DATA ENTRY'!J18,'DATA ENTRY'!K18))</f>
        <v>46500</v>
      </c>
      <c r="K15" s="84"/>
      <c r="L15" s="84"/>
      <c r="M15" s="84"/>
      <c r="N15" s="85">
        <f ca="1">ORDER!J14</f>
        <v>44743</v>
      </c>
      <c r="O15" s="84" t="str">
        <f ca="1">ORDER!L14</f>
        <v>L_12</v>
      </c>
      <c r="P15" s="84">
        <f ca="1">ORDER!M14</f>
        <v>48400</v>
      </c>
      <c r="Q15" t="str">
        <f t="shared" ca="1" si="3"/>
        <v>REAL</v>
      </c>
    </row>
    <row r="16" spans="1:39" x14ac:dyDescent="0.3">
      <c r="A16" s="84">
        <f t="shared" si="1"/>
        <v>8</v>
      </c>
      <c r="B16" s="85">
        <f t="shared" si="2"/>
        <v>43862</v>
      </c>
      <c r="C16" s="84" t="str">
        <f t="shared" si="0"/>
        <v>Feb-20</v>
      </c>
      <c r="D16" s="110">
        <f ca="1">'DATA ENTRY'!D19</f>
        <v>44300</v>
      </c>
      <c r="E16" s="84">
        <f ca="1">IF('DATA ENTRY'!C19="","",IF('DATA ENTRY'!E19="",'DATA ENTRY'!D19,'DATA ENTRY'!E19))</f>
        <v>44300</v>
      </c>
      <c r="F16" s="110">
        <f>'DATA ENTRY'!J19</f>
        <v>46500</v>
      </c>
      <c r="G16" s="84">
        <f>IF('DATA ENTRY'!I19="","",IF('DATA ENTRY'!K19="",'DATA ENTRY'!J19,'DATA ENTRY'!K19))</f>
        <v>46500</v>
      </c>
      <c r="K16" s="84" t="s">
        <v>287</v>
      </c>
      <c r="L16" s="84" t="s">
        <v>286</v>
      </c>
      <c r="M16" s="84"/>
      <c r="N16" s="85">
        <f ca="1">ORDER!J15</f>
        <v>45108</v>
      </c>
      <c r="O16" s="84" t="str">
        <f ca="1">ORDER!L15</f>
        <v>L_12</v>
      </c>
      <c r="P16" s="84">
        <f ca="1">ORDER!M15</f>
        <v>49900</v>
      </c>
      <c r="Q16" t="str">
        <f t="shared" ca="1" si="3"/>
        <v>REAL</v>
      </c>
    </row>
    <row r="17" spans="1:16" x14ac:dyDescent="0.3">
      <c r="A17" s="84">
        <f t="shared" si="1"/>
        <v>9</v>
      </c>
      <c r="B17" s="85">
        <f t="shared" si="2"/>
        <v>43891</v>
      </c>
      <c r="C17" s="84" t="str">
        <f t="shared" si="0"/>
        <v>Mar-20</v>
      </c>
      <c r="D17" s="110">
        <f ca="1">'DATA ENTRY'!D20</f>
        <v>44300</v>
      </c>
      <c r="E17" s="84">
        <f ca="1">IF('DATA ENTRY'!C20="","",IF('DATA ENTRY'!E20="",'DATA ENTRY'!D20,'DATA ENTRY'!E20))</f>
        <v>44300</v>
      </c>
      <c r="F17" s="110">
        <f>'DATA ENTRY'!J20</f>
        <v>46500</v>
      </c>
      <c r="G17" s="84">
        <f>IF('DATA ENTRY'!I20="","",IF('DATA ENTRY'!K20="",'DATA ENTRY'!J20,'DATA ENTRY'!K20))</f>
        <v>46500</v>
      </c>
      <c r="K17" s="193" t="str">
        <f ca="1">VLOOKUP($K$13,$N$12:$P16,2,TRUE)</f>
        <v>L_12</v>
      </c>
      <c r="L17" s="193">
        <f ca="1">VLOOKUP($K$13,$N$12:$P16,3,TRUE)</f>
        <v>44300</v>
      </c>
      <c r="M17" s="84"/>
      <c r="N17" s="85"/>
      <c r="O17" s="84"/>
      <c r="P17" s="84"/>
    </row>
    <row r="18" spans="1:16" x14ac:dyDescent="0.3">
      <c r="A18" s="84">
        <f t="shared" si="1"/>
        <v>10</v>
      </c>
      <c r="B18" s="85">
        <f t="shared" si="2"/>
        <v>43922</v>
      </c>
      <c r="C18" s="84" t="str">
        <f t="shared" si="0"/>
        <v>Apr-20</v>
      </c>
      <c r="D18" s="110">
        <f ca="1">'DATA ENTRY'!D21</f>
        <v>44300</v>
      </c>
      <c r="E18" s="84">
        <f ca="1">IF('DATA ENTRY'!C21="","",IF('DATA ENTRY'!E21="",'DATA ENTRY'!D21,'DATA ENTRY'!E21))</f>
        <v>44300</v>
      </c>
      <c r="F18" s="110">
        <f>'DATA ENTRY'!J21</f>
        <v>46500</v>
      </c>
      <c r="G18" s="84">
        <f>IF('DATA ENTRY'!I21="","",IF('DATA ENTRY'!K21="",'DATA ENTRY'!J21,'DATA ENTRY'!K21))</f>
        <v>46500</v>
      </c>
    </row>
    <row r="19" spans="1:16" x14ac:dyDescent="0.3">
      <c r="A19" s="84">
        <f t="shared" si="1"/>
        <v>11</v>
      </c>
      <c r="B19" s="85">
        <f t="shared" si="2"/>
        <v>43952</v>
      </c>
      <c r="C19" s="84" t="str">
        <f t="shared" si="0"/>
        <v>May-20</v>
      </c>
      <c r="D19" s="110">
        <f ca="1">'DATA ENTRY'!D22</f>
        <v>44300</v>
      </c>
      <c r="E19" s="84">
        <f ca="1">IF('DATA ENTRY'!C22="","",IF('DATA ENTRY'!E22="",'DATA ENTRY'!D22,'DATA ENTRY'!E22))</f>
        <v>44300</v>
      </c>
      <c r="F19" s="110">
        <f>'DATA ENTRY'!J22</f>
        <v>46500</v>
      </c>
      <c r="G19" s="84">
        <f>IF('DATA ENTRY'!I22="","",IF('DATA ENTRY'!K22="",'DATA ENTRY'!J22,'DATA ENTRY'!K22))</f>
        <v>46500</v>
      </c>
    </row>
    <row r="20" spans="1:16" x14ac:dyDescent="0.3">
      <c r="A20" s="84">
        <f t="shared" si="1"/>
        <v>12</v>
      </c>
      <c r="B20" s="85">
        <f t="shared" si="2"/>
        <v>43983</v>
      </c>
      <c r="C20" s="84" t="str">
        <f t="shared" si="0"/>
        <v>Jun-20</v>
      </c>
      <c r="D20" s="110">
        <f ca="1">'DATA ENTRY'!D23</f>
        <v>44300</v>
      </c>
      <c r="E20" s="84">
        <f ca="1">IF('DATA ENTRY'!C23="","",IF('DATA ENTRY'!E23="",'DATA ENTRY'!D23,'DATA ENTRY'!E23))</f>
        <v>44300</v>
      </c>
      <c r="F20" s="110">
        <f>'DATA ENTRY'!J23</f>
        <v>46500</v>
      </c>
      <c r="G20" s="84">
        <f>IF('DATA ENTRY'!I23="","",IF('DATA ENTRY'!K23="",'DATA ENTRY'!J23,'DATA ENTRY'!K23))</f>
        <v>46500</v>
      </c>
    </row>
    <row r="21" spans="1:16" x14ac:dyDescent="0.3">
      <c r="A21" s="84">
        <f t="shared" si="1"/>
        <v>13</v>
      </c>
      <c r="B21" s="85">
        <f t="shared" si="2"/>
        <v>44013</v>
      </c>
      <c r="C21" s="84" t="str">
        <f t="shared" si="0"/>
        <v>Jul-20</v>
      </c>
      <c r="D21" s="110">
        <f ca="1">'DATA ENTRY'!D24</f>
        <v>45600</v>
      </c>
      <c r="E21" s="84">
        <f ca="1">IF('DATA ENTRY'!C24="","",IF('DATA ENTRY'!E24="",'DATA ENTRY'!D24,'DATA ENTRY'!E24))</f>
        <v>45600</v>
      </c>
      <c r="F21" s="110">
        <f>'DATA ENTRY'!J24</f>
        <v>47900</v>
      </c>
      <c r="G21" s="84">
        <f>IF('DATA ENTRY'!I24="","",IF('DATA ENTRY'!K24="",'DATA ENTRY'!J24,'DATA ENTRY'!K24))</f>
        <v>47900</v>
      </c>
    </row>
    <row r="22" spans="1:16" x14ac:dyDescent="0.3">
      <c r="A22" s="84">
        <f t="shared" si="1"/>
        <v>14</v>
      </c>
      <c r="B22" s="85">
        <f t="shared" si="2"/>
        <v>44044</v>
      </c>
      <c r="C22" s="84" t="str">
        <f t="shared" si="0"/>
        <v>Aug-20</v>
      </c>
      <c r="D22" s="110">
        <f ca="1">'DATA ENTRY'!D25</f>
        <v>45600</v>
      </c>
      <c r="E22" s="84">
        <f ca="1">IF('DATA ENTRY'!C25="","",IF('DATA ENTRY'!E25="",'DATA ENTRY'!D25,'DATA ENTRY'!E25))</f>
        <v>45600</v>
      </c>
      <c r="F22" s="110">
        <f>'DATA ENTRY'!J25</f>
        <v>47900</v>
      </c>
      <c r="G22" s="84">
        <f>IF('DATA ENTRY'!I25="","",IF('DATA ENTRY'!K25="",'DATA ENTRY'!J25,'DATA ENTRY'!K25))</f>
        <v>47900</v>
      </c>
    </row>
    <row r="23" spans="1:16" x14ac:dyDescent="0.3">
      <c r="A23" s="84">
        <f t="shared" si="1"/>
        <v>15</v>
      </c>
      <c r="B23" s="85">
        <f t="shared" si="2"/>
        <v>44075</v>
      </c>
      <c r="C23" s="84" t="str">
        <f t="shared" si="0"/>
        <v>Sep-20</v>
      </c>
      <c r="D23" s="110">
        <f ca="1">'DATA ENTRY'!D26</f>
        <v>45600</v>
      </c>
      <c r="E23" s="84">
        <f ca="1">IF('DATA ENTRY'!C26="","",IF('DATA ENTRY'!E26="",'DATA ENTRY'!D26,'DATA ENTRY'!E26))</f>
        <v>45600</v>
      </c>
      <c r="F23" s="110">
        <f>'DATA ENTRY'!J26</f>
        <v>47900</v>
      </c>
      <c r="G23" s="84">
        <f>IF('DATA ENTRY'!I26="","",IF('DATA ENTRY'!K26="",'DATA ENTRY'!J26,'DATA ENTRY'!K26))</f>
        <v>47900</v>
      </c>
    </row>
    <row r="24" spans="1:16" x14ac:dyDescent="0.3">
      <c r="A24" s="84">
        <f t="shared" si="1"/>
        <v>16</v>
      </c>
      <c r="B24" s="85">
        <f t="shared" si="2"/>
        <v>44105</v>
      </c>
      <c r="C24" s="84" t="str">
        <f t="shared" si="0"/>
        <v>Oct-20</v>
      </c>
      <c r="D24" s="110">
        <f ca="1">'DATA ENTRY'!D27</f>
        <v>45600</v>
      </c>
      <c r="E24" s="84">
        <f ca="1">IF('DATA ENTRY'!C27="","",IF('DATA ENTRY'!E27="",'DATA ENTRY'!D27,'DATA ENTRY'!E27))</f>
        <v>45600</v>
      </c>
      <c r="F24" s="110">
        <f>'DATA ENTRY'!J27</f>
        <v>47900</v>
      </c>
      <c r="G24" s="84">
        <f>IF('DATA ENTRY'!I27="","",IF('DATA ENTRY'!K27="",'DATA ENTRY'!J27,'DATA ENTRY'!K27))</f>
        <v>47900</v>
      </c>
    </row>
    <row r="25" spans="1:16" x14ac:dyDescent="0.3">
      <c r="A25" s="84">
        <f t="shared" si="1"/>
        <v>17</v>
      </c>
      <c r="B25" s="85">
        <f t="shared" si="2"/>
        <v>44136</v>
      </c>
      <c r="C25" s="84" t="str">
        <f t="shared" si="0"/>
        <v>Nov-20</v>
      </c>
      <c r="D25" s="110">
        <f ca="1">'DATA ENTRY'!D28</f>
        <v>45600</v>
      </c>
      <c r="E25" s="84">
        <f ca="1">IF('DATA ENTRY'!C28="","",IF('DATA ENTRY'!E28="",'DATA ENTRY'!D28,'DATA ENTRY'!E28))</f>
        <v>45600</v>
      </c>
      <c r="F25" s="110">
        <f>'DATA ENTRY'!J28</f>
        <v>47900</v>
      </c>
      <c r="G25" s="84">
        <f>IF('DATA ENTRY'!I28="","",IF('DATA ENTRY'!K28="",'DATA ENTRY'!J28,'DATA ENTRY'!K28))</f>
        <v>47900</v>
      </c>
    </row>
    <row r="26" spans="1:16" x14ac:dyDescent="0.3">
      <c r="A26" s="84">
        <f t="shared" si="1"/>
        <v>18</v>
      </c>
      <c r="B26" s="85">
        <f t="shared" si="2"/>
        <v>44166</v>
      </c>
      <c r="C26" s="84" t="str">
        <f t="shared" si="0"/>
        <v>Dec-20</v>
      </c>
      <c r="D26" s="110">
        <f ca="1">'DATA ENTRY'!D29</f>
        <v>45600</v>
      </c>
      <c r="E26" s="84">
        <f ca="1">IF('DATA ENTRY'!C29="","",IF('DATA ENTRY'!E29="",'DATA ENTRY'!D29,'DATA ENTRY'!E29))</f>
        <v>45600</v>
      </c>
      <c r="F26" s="110">
        <f>'DATA ENTRY'!J29</f>
        <v>47900</v>
      </c>
      <c r="G26" s="84">
        <f>IF('DATA ENTRY'!I29="","",IF('DATA ENTRY'!K29="",'DATA ENTRY'!J29,'DATA ENTRY'!K29))</f>
        <v>47900</v>
      </c>
    </row>
    <row r="27" spans="1:16" x14ac:dyDescent="0.3">
      <c r="A27" s="84">
        <f t="shared" si="1"/>
        <v>19</v>
      </c>
      <c r="B27" s="85">
        <f t="shared" si="2"/>
        <v>44197</v>
      </c>
      <c r="C27" s="84" t="str">
        <f t="shared" si="0"/>
        <v>Jan-21</v>
      </c>
      <c r="D27" s="110">
        <f ca="1">'DATA ENTRY'!D30</f>
        <v>45600</v>
      </c>
      <c r="E27" s="84">
        <f ca="1">IF('DATA ENTRY'!C30="","",IF('DATA ENTRY'!E30="",'DATA ENTRY'!D30,'DATA ENTRY'!E30))</f>
        <v>45600</v>
      </c>
      <c r="F27" s="110">
        <f>'DATA ENTRY'!J30</f>
        <v>47900</v>
      </c>
      <c r="G27" s="84">
        <f>IF('DATA ENTRY'!I30="","",IF('DATA ENTRY'!K30="",'DATA ENTRY'!J30,'DATA ENTRY'!K30))</f>
        <v>47900</v>
      </c>
    </row>
    <row r="28" spans="1:16" x14ac:dyDescent="0.3">
      <c r="A28" s="84">
        <f t="shared" si="1"/>
        <v>20</v>
      </c>
      <c r="B28" s="85">
        <f t="shared" si="2"/>
        <v>44228</v>
      </c>
      <c r="C28" s="84" t="str">
        <f t="shared" si="0"/>
        <v>Feb-21</v>
      </c>
      <c r="D28" s="110">
        <f ca="1">'DATA ENTRY'!D31</f>
        <v>45600</v>
      </c>
      <c r="E28" s="84">
        <f ca="1">IF('DATA ENTRY'!C31="","",IF('DATA ENTRY'!E31="",'DATA ENTRY'!D31,'DATA ENTRY'!E31))</f>
        <v>45600</v>
      </c>
      <c r="F28" s="110">
        <f>'DATA ENTRY'!J31</f>
        <v>47900</v>
      </c>
      <c r="G28" s="84">
        <f>IF('DATA ENTRY'!I31="","",IF('DATA ENTRY'!K31="",'DATA ENTRY'!J31,'DATA ENTRY'!K31))</f>
        <v>47900</v>
      </c>
    </row>
    <row r="29" spans="1:16" x14ac:dyDescent="0.3">
      <c r="A29" s="84">
        <f t="shared" si="1"/>
        <v>21</v>
      </c>
      <c r="B29" s="85">
        <f t="shared" si="2"/>
        <v>44256</v>
      </c>
      <c r="C29" s="84" t="str">
        <f t="shared" si="0"/>
        <v>Mar-21</v>
      </c>
      <c r="D29" s="110">
        <f ca="1">'DATA ENTRY'!D32</f>
        <v>45600</v>
      </c>
      <c r="E29" s="84">
        <f ca="1">IF('DATA ENTRY'!C32="","",IF('DATA ENTRY'!E32="",'DATA ENTRY'!D32,'DATA ENTRY'!E32))</f>
        <v>45600</v>
      </c>
      <c r="F29" s="110">
        <f>'DATA ENTRY'!J32</f>
        <v>47900</v>
      </c>
      <c r="G29" s="84">
        <f>IF('DATA ENTRY'!I32="","",IF('DATA ENTRY'!K32="",'DATA ENTRY'!J32,'DATA ENTRY'!K32))</f>
        <v>47900</v>
      </c>
    </row>
    <row r="30" spans="1:16" x14ac:dyDescent="0.3">
      <c r="A30" s="84">
        <f t="shared" si="1"/>
        <v>22</v>
      </c>
      <c r="B30" s="85">
        <f t="shared" si="2"/>
        <v>44287</v>
      </c>
      <c r="C30" s="84" t="str">
        <f t="shared" si="0"/>
        <v>Apr-21</v>
      </c>
      <c r="D30" s="110">
        <f ca="1">'DATA ENTRY'!D33</f>
        <v>45600</v>
      </c>
      <c r="E30" s="84">
        <f ca="1">IF('DATA ENTRY'!C33="","",IF('DATA ENTRY'!E33="",'DATA ENTRY'!D33,'DATA ENTRY'!E33))</f>
        <v>45600</v>
      </c>
      <c r="F30" s="110">
        <f>'DATA ENTRY'!J33</f>
        <v>47900</v>
      </c>
      <c r="G30" s="84">
        <f>IF('DATA ENTRY'!I33="","",IF('DATA ENTRY'!K33="",'DATA ENTRY'!J33,'DATA ENTRY'!K33))</f>
        <v>47900</v>
      </c>
    </row>
    <row r="31" spans="1:16" x14ac:dyDescent="0.3">
      <c r="A31" s="84">
        <f t="shared" si="1"/>
        <v>23</v>
      </c>
      <c r="B31" s="85">
        <f t="shared" si="2"/>
        <v>44317</v>
      </c>
      <c r="C31" s="84" t="str">
        <f t="shared" si="0"/>
        <v>May-21</v>
      </c>
      <c r="D31" s="110">
        <f ca="1">'DATA ENTRY'!D34</f>
        <v>45600</v>
      </c>
      <c r="E31" s="84">
        <f ca="1">IF('DATA ENTRY'!C34="","",IF('DATA ENTRY'!E34="",'DATA ENTRY'!D34,'DATA ENTRY'!E34))</f>
        <v>45600</v>
      </c>
      <c r="F31" s="110">
        <f>'DATA ENTRY'!J34</f>
        <v>47900</v>
      </c>
      <c r="G31" s="84">
        <f>IF('DATA ENTRY'!I34="","",IF('DATA ENTRY'!K34="",'DATA ENTRY'!J34,'DATA ENTRY'!K34))</f>
        <v>47900</v>
      </c>
    </row>
    <row r="32" spans="1:16" x14ac:dyDescent="0.3">
      <c r="A32" s="84">
        <f t="shared" si="1"/>
        <v>24</v>
      </c>
      <c r="B32" s="85">
        <f t="shared" si="2"/>
        <v>44348</v>
      </c>
      <c r="C32" s="84" t="str">
        <f t="shared" si="0"/>
        <v>Jun-21</v>
      </c>
      <c r="D32" s="110">
        <f ca="1">'DATA ENTRY'!D35</f>
        <v>45600</v>
      </c>
      <c r="E32" s="84">
        <f ca="1">IF('DATA ENTRY'!C35="","",IF('DATA ENTRY'!E35="",'DATA ENTRY'!D35,'DATA ENTRY'!E35))</f>
        <v>45600</v>
      </c>
      <c r="F32" s="110">
        <f>'DATA ENTRY'!J35</f>
        <v>47900</v>
      </c>
      <c r="G32" s="84">
        <f>IF('DATA ENTRY'!I35="","",IF('DATA ENTRY'!K35="",'DATA ENTRY'!J35,'DATA ENTRY'!K35))</f>
        <v>47900</v>
      </c>
    </row>
    <row r="33" spans="1:7" x14ac:dyDescent="0.3">
      <c r="A33" s="84">
        <f t="shared" si="1"/>
        <v>25</v>
      </c>
      <c r="B33" s="85">
        <f t="shared" ref="B33:B34" si="4">IF(B32="","",IF(EOMONTH(B32,0)+1&gt;$E$4,"",EOMONTH(B32,0)+1))</f>
        <v>44378</v>
      </c>
      <c r="C33" s="84" t="str">
        <f t="shared" si="0"/>
        <v>Jul-21</v>
      </c>
      <c r="D33" s="110">
        <f ca="1">'DATA ENTRY'!D36</f>
        <v>47000</v>
      </c>
      <c r="E33" s="84">
        <f ca="1">IF('DATA ENTRY'!C36="","",IF('DATA ENTRY'!E36="",'DATA ENTRY'!D36,'DATA ENTRY'!E36))</f>
        <v>47000</v>
      </c>
      <c r="F33" s="110">
        <f>'DATA ENTRY'!J36</f>
        <v>49300</v>
      </c>
      <c r="G33" s="84">
        <f>IF('DATA ENTRY'!I36="","",IF('DATA ENTRY'!K36="",'DATA ENTRY'!J36,'DATA ENTRY'!K36))</f>
        <v>49300</v>
      </c>
    </row>
    <row r="34" spans="1:7" x14ac:dyDescent="0.3">
      <c r="A34" s="84">
        <f t="shared" si="1"/>
        <v>26</v>
      </c>
      <c r="B34" s="85">
        <f t="shared" si="4"/>
        <v>44409</v>
      </c>
      <c r="C34" s="84" t="str">
        <f t="shared" si="0"/>
        <v>Aug-21</v>
      </c>
      <c r="D34" s="110">
        <f ca="1">'DATA ENTRY'!D37</f>
        <v>47000</v>
      </c>
      <c r="E34" s="84">
        <f ca="1">IF('DATA ENTRY'!C37="","",IF('DATA ENTRY'!E37="",'DATA ENTRY'!D37,'DATA ENTRY'!E37))</f>
        <v>47000</v>
      </c>
      <c r="F34" s="110">
        <f>'DATA ENTRY'!J37</f>
        <v>49300</v>
      </c>
      <c r="G34" s="84">
        <f>IF('DATA ENTRY'!I37="","",IF('DATA ENTRY'!K37="",'DATA ENTRY'!J37,'DATA ENTRY'!K37))</f>
        <v>49300</v>
      </c>
    </row>
    <row r="35" spans="1:7" x14ac:dyDescent="0.3">
      <c r="A35" s="84">
        <f t="shared" si="1"/>
        <v>27</v>
      </c>
      <c r="B35" s="85">
        <f t="shared" ref="B35:B42" si="5">IF(B34="","",IF(EOMONTH(B34,0)+1&gt;$E$4,"",EOMONTH(B34,0)+1))</f>
        <v>44440</v>
      </c>
      <c r="C35" s="84" t="str">
        <f t="shared" si="0"/>
        <v>Sep-21</v>
      </c>
      <c r="D35" s="110">
        <f ca="1">'DATA ENTRY'!D38</f>
        <v>47000</v>
      </c>
      <c r="E35" s="84">
        <f ca="1">IF('DATA ENTRY'!C38="","",IF('DATA ENTRY'!E38="",'DATA ENTRY'!D38,'DATA ENTRY'!E38))</f>
        <v>47000</v>
      </c>
      <c r="F35" s="110">
        <f>'DATA ENTRY'!J38</f>
        <v>49300</v>
      </c>
      <c r="G35" s="84">
        <f>IF('DATA ENTRY'!I38="","",IF('DATA ENTRY'!K38="",'DATA ENTRY'!J38,'DATA ENTRY'!K38))</f>
        <v>49300</v>
      </c>
    </row>
    <row r="36" spans="1:7" x14ac:dyDescent="0.3">
      <c r="A36" s="84">
        <f t="shared" si="1"/>
        <v>28</v>
      </c>
      <c r="B36" s="85">
        <f t="shared" si="5"/>
        <v>44470</v>
      </c>
      <c r="C36" s="84" t="str">
        <f t="shared" si="0"/>
        <v>Oct-21</v>
      </c>
      <c r="D36" s="110">
        <f ca="1">'DATA ENTRY'!D39</f>
        <v>47000</v>
      </c>
      <c r="E36" s="84">
        <f ca="1">IF('DATA ENTRY'!C39="","",IF('DATA ENTRY'!E39="",'DATA ENTRY'!D39,'DATA ENTRY'!E39))</f>
        <v>47000</v>
      </c>
      <c r="F36" s="110">
        <f>'DATA ENTRY'!J39</f>
        <v>49300</v>
      </c>
      <c r="G36" s="84">
        <f>IF('DATA ENTRY'!I39="","",IF('DATA ENTRY'!K39="",'DATA ENTRY'!J39,'DATA ENTRY'!K39))</f>
        <v>49300</v>
      </c>
    </row>
    <row r="37" spans="1:7" x14ac:dyDescent="0.3">
      <c r="A37" s="84">
        <f t="shared" si="1"/>
        <v>29</v>
      </c>
      <c r="B37" s="85">
        <f t="shared" si="5"/>
        <v>44501</v>
      </c>
      <c r="C37" s="84" t="str">
        <f t="shared" si="0"/>
        <v>Nov-21</v>
      </c>
      <c r="D37" s="110">
        <f ca="1">'DATA ENTRY'!D40</f>
        <v>47000</v>
      </c>
      <c r="E37" s="84">
        <f ca="1">IF('DATA ENTRY'!C40="","",IF('DATA ENTRY'!E40="",'DATA ENTRY'!D40,'DATA ENTRY'!E40))</f>
        <v>47000</v>
      </c>
      <c r="F37" s="110">
        <f>'DATA ENTRY'!J40</f>
        <v>49300</v>
      </c>
      <c r="G37" s="84">
        <f>IF('DATA ENTRY'!I40="","",IF('DATA ENTRY'!K40="",'DATA ENTRY'!J40,'DATA ENTRY'!K40))</f>
        <v>49300</v>
      </c>
    </row>
    <row r="38" spans="1:7" x14ac:dyDescent="0.3">
      <c r="A38" s="84">
        <f t="shared" si="1"/>
        <v>30</v>
      </c>
      <c r="B38" s="85">
        <f t="shared" si="5"/>
        <v>44531</v>
      </c>
      <c r="C38" s="84" t="str">
        <f t="shared" si="0"/>
        <v>Dec-21</v>
      </c>
      <c r="D38" s="110">
        <f ca="1">'DATA ENTRY'!D41</f>
        <v>47000</v>
      </c>
      <c r="E38" s="84">
        <f ca="1">IF('DATA ENTRY'!C41="","",IF('DATA ENTRY'!E41="",'DATA ENTRY'!D41,'DATA ENTRY'!E41))</f>
        <v>47000</v>
      </c>
      <c r="F38" s="110">
        <f>'DATA ENTRY'!J41</f>
        <v>49300</v>
      </c>
      <c r="G38" s="84">
        <f>IF('DATA ENTRY'!I41="","",IF('DATA ENTRY'!K41="",'DATA ENTRY'!J41,'DATA ENTRY'!K41))</f>
        <v>49300</v>
      </c>
    </row>
    <row r="39" spans="1:7" x14ac:dyDescent="0.3">
      <c r="A39" s="84">
        <f t="shared" si="1"/>
        <v>31</v>
      </c>
      <c r="B39" s="85">
        <f t="shared" si="5"/>
        <v>44562</v>
      </c>
      <c r="C39" s="84" t="str">
        <f t="shared" si="0"/>
        <v>Jan-22</v>
      </c>
      <c r="D39" s="110">
        <f ca="1">'DATA ENTRY'!D42</f>
        <v>47000</v>
      </c>
      <c r="E39" s="84">
        <f ca="1">IF('DATA ENTRY'!C42="","",IF('DATA ENTRY'!E42="",'DATA ENTRY'!D42,'DATA ENTRY'!E42))</f>
        <v>47000</v>
      </c>
      <c r="F39" s="110">
        <f>'DATA ENTRY'!J42</f>
        <v>49300</v>
      </c>
      <c r="G39" s="84">
        <f>IF('DATA ENTRY'!I42="","",IF('DATA ENTRY'!K42="",'DATA ENTRY'!J42,'DATA ENTRY'!K42))</f>
        <v>49300</v>
      </c>
    </row>
    <row r="40" spans="1:7" x14ac:dyDescent="0.3">
      <c r="A40" s="84">
        <f t="shared" si="1"/>
        <v>32</v>
      </c>
      <c r="B40" s="85">
        <f t="shared" si="5"/>
        <v>44593</v>
      </c>
      <c r="C40" s="84" t="str">
        <f t="shared" si="0"/>
        <v>Feb-22</v>
      </c>
      <c r="D40" s="110">
        <f ca="1">'DATA ENTRY'!D43</f>
        <v>47000</v>
      </c>
      <c r="E40" s="84">
        <f ca="1">IF('DATA ENTRY'!C43="","",IF('DATA ENTRY'!E43="",'DATA ENTRY'!D43,'DATA ENTRY'!E43))</f>
        <v>47000</v>
      </c>
      <c r="F40" s="110">
        <f>'DATA ENTRY'!J43</f>
        <v>49300</v>
      </c>
      <c r="G40" s="84">
        <f>IF('DATA ENTRY'!I43="","",IF('DATA ENTRY'!K43="",'DATA ENTRY'!J43,'DATA ENTRY'!K43))</f>
        <v>49300</v>
      </c>
    </row>
    <row r="41" spans="1:7" x14ac:dyDescent="0.3">
      <c r="A41" s="84">
        <f t="shared" si="1"/>
        <v>33</v>
      </c>
      <c r="B41" s="85">
        <f t="shared" si="5"/>
        <v>44621</v>
      </c>
      <c r="C41" s="84" t="str">
        <f t="shared" si="0"/>
        <v>Mar-22</v>
      </c>
      <c r="D41" s="110">
        <f ca="1">'DATA ENTRY'!D44</f>
        <v>47000</v>
      </c>
      <c r="E41" s="84">
        <f ca="1">IF('DATA ENTRY'!C44="","",IF('DATA ENTRY'!E44="",'DATA ENTRY'!D44,'DATA ENTRY'!E44))</f>
        <v>47000</v>
      </c>
      <c r="F41" s="110">
        <f>'DATA ENTRY'!J44</f>
        <v>49300</v>
      </c>
      <c r="G41" s="84">
        <f>IF('DATA ENTRY'!I44="","",IF('DATA ENTRY'!K44="",'DATA ENTRY'!J44,'DATA ENTRY'!K44))</f>
        <v>49300</v>
      </c>
    </row>
    <row r="42" spans="1:7" x14ac:dyDescent="0.3">
      <c r="A42" s="84">
        <f t="shared" si="1"/>
        <v>34</v>
      </c>
      <c r="B42" s="85">
        <f t="shared" si="5"/>
        <v>44652</v>
      </c>
      <c r="C42" s="84" t="str">
        <f t="shared" si="0"/>
        <v>Apr-22</v>
      </c>
      <c r="D42" s="110">
        <f ca="1">'DATA ENTRY'!D45</f>
        <v>47000</v>
      </c>
      <c r="E42" s="84">
        <f ca="1">IF('DATA ENTRY'!C45="","",IF('DATA ENTRY'!E45="",'DATA ENTRY'!D45,'DATA ENTRY'!E45))</f>
        <v>47000</v>
      </c>
      <c r="F42" s="110">
        <f>'DATA ENTRY'!J45</f>
        <v>49300</v>
      </c>
      <c r="G42" s="84">
        <f>IF('DATA ENTRY'!I45="","",IF('DATA ENTRY'!K45="",'DATA ENTRY'!J45,'DATA ENTRY'!K45))</f>
        <v>49300</v>
      </c>
    </row>
    <row r="43" spans="1:7" x14ac:dyDescent="0.3">
      <c r="A43" s="84">
        <f t="shared" ref="A43:A44" si="6">IF(B43="","",A42+1)</f>
        <v>35</v>
      </c>
      <c r="B43" s="85">
        <f t="shared" ref="B43:B92" si="7">IF(B42="","",IF(EOMONTH(B42,0)+1&gt;$E$4,"",EOMONTH(B42,0)+1))</f>
        <v>44682</v>
      </c>
      <c r="C43" s="84" t="str">
        <f t="shared" si="0"/>
        <v>May-22</v>
      </c>
      <c r="D43" s="110">
        <f ca="1">'DATA ENTRY'!D46</f>
        <v>47000</v>
      </c>
      <c r="E43" s="84">
        <f ca="1">IF('DATA ENTRY'!C46="","",IF('DATA ENTRY'!E46="",'DATA ENTRY'!D46,'DATA ENTRY'!E46))</f>
        <v>47000</v>
      </c>
      <c r="F43" s="110">
        <f>'DATA ENTRY'!J46</f>
        <v>49300</v>
      </c>
      <c r="G43" s="84">
        <f>IF('DATA ENTRY'!I46="","",IF('DATA ENTRY'!K46="",'DATA ENTRY'!J46,'DATA ENTRY'!K46))</f>
        <v>49300</v>
      </c>
    </row>
    <row r="44" spans="1:7" x14ac:dyDescent="0.3">
      <c r="A44" s="84">
        <f t="shared" si="6"/>
        <v>36</v>
      </c>
      <c r="B44" s="85">
        <f t="shared" si="7"/>
        <v>44713</v>
      </c>
      <c r="C44" s="84" t="str">
        <f t="shared" si="0"/>
        <v>Jun-22</v>
      </c>
      <c r="D44" s="110">
        <f ca="1">'DATA ENTRY'!D47</f>
        <v>47000</v>
      </c>
      <c r="E44" s="84">
        <f ca="1">IF('DATA ENTRY'!C47="","",IF('DATA ENTRY'!E47="",'DATA ENTRY'!D47,'DATA ENTRY'!E47))</f>
        <v>47000</v>
      </c>
      <c r="F44" s="110">
        <f>'DATA ENTRY'!J47</f>
        <v>49300</v>
      </c>
      <c r="G44" s="84">
        <f>IF('DATA ENTRY'!I47="","",IF('DATA ENTRY'!K47="",'DATA ENTRY'!J47,'DATA ENTRY'!K47))</f>
        <v>49300</v>
      </c>
    </row>
    <row r="45" spans="1:7" x14ac:dyDescent="0.3">
      <c r="A45" s="84">
        <f t="shared" ref="A45:A56" si="8">IF(B45="","",A44+1)</f>
        <v>37</v>
      </c>
      <c r="B45" s="85">
        <f t="shared" si="7"/>
        <v>44743</v>
      </c>
      <c r="C45" s="84" t="str">
        <f t="shared" ref="C45:C56" si="9">TEXT(B45,"mmm"&amp;"-"&amp;"YY")</f>
        <v>Jul-22</v>
      </c>
      <c r="D45" s="110">
        <f ca="1">'DATA ENTRY'!D48</f>
        <v>48400</v>
      </c>
      <c r="E45" s="84">
        <f ca="1">IF('DATA ENTRY'!C48="","",IF('DATA ENTRY'!E48="",'DATA ENTRY'!D48,'DATA ENTRY'!E48))</f>
        <v>48400</v>
      </c>
      <c r="F45" s="110">
        <f>'DATA ENTRY'!J48</f>
        <v>50800</v>
      </c>
      <c r="G45" s="84">
        <f>IF('DATA ENTRY'!I48="","",IF('DATA ENTRY'!K48="",'DATA ENTRY'!J48,'DATA ENTRY'!K48))</f>
        <v>50800</v>
      </c>
    </row>
    <row r="46" spans="1:7" x14ac:dyDescent="0.3">
      <c r="A46" s="84">
        <f t="shared" si="8"/>
        <v>38</v>
      </c>
      <c r="B46" s="85">
        <f t="shared" si="7"/>
        <v>44774</v>
      </c>
      <c r="C46" s="84" t="str">
        <f t="shared" si="9"/>
        <v>Aug-22</v>
      </c>
      <c r="D46" s="110">
        <f ca="1">'DATA ENTRY'!D49</f>
        <v>48400</v>
      </c>
      <c r="E46" s="84">
        <f ca="1">IF('DATA ENTRY'!C49="","",IF('DATA ENTRY'!E49="",'DATA ENTRY'!D49,'DATA ENTRY'!E49))</f>
        <v>48400</v>
      </c>
      <c r="F46" s="110">
        <f>'DATA ENTRY'!J49</f>
        <v>50800</v>
      </c>
      <c r="G46" s="84">
        <f>IF('DATA ENTRY'!I49="","",IF('DATA ENTRY'!K49="",'DATA ENTRY'!J49,'DATA ENTRY'!K49))</f>
        <v>50800</v>
      </c>
    </row>
    <row r="47" spans="1:7" x14ac:dyDescent="0.3">
      <c r="A47" s="84">
        <f t="shared" si="8"/>
        <v>39</v>
      </c>
      <c r="B47" s="85">
        <f t="shared" si="7"/>
        <v>44805</v>
      </c>
      <c r="C47" s="84" t="str">
        <f t="shared" si="9"/>
        <v>Sep-22</v>
      </c>
      <c r="D47" s="110">
        <f ca="1">'DATA ENTRY'!D50</f>
        <v>48400</v>
      </c>
      <c r="E47" s="84">
        <f ca="1">IF('DATA ENTRY'!C50="","",IF('DATA ENTRY'!E50="",'DATA ENTRY'!D50,'DATA ENTRY'!E50))</f>
        <v>48400</v>
      </c>
      <c r="F47" s="110">
        <f>'DATA ENTRY'!J50</f>
        <v>50800</v>
      </c>
      <c r="G47" s="84">
        <f>IF('DATA ENTRY'!I50="","",IF('DATA ENTRY'!K50="",'DATA ENTRY'!J50,'DATA ENTRY'!K50))</f>
        <v>50800</v>
      </c>
    </row>
    <row r="48" spans="1:7" x14ac:dyDescent="0.3">
      <c r="A48" s="84">
        <f t="shared" si="8"/>
        <v>40</v>
      </c>
      <c r="B48" s="85">
        <f t="shared" si="7"/>
        <v>44835</v>
      </c>
      <c r="C48" s="84" t="str">
        <f t="shared" si="9"/>
        <v>Oct-22</v>
      </c>
      <c r="D48" s="110">
        <f ca="1">'DATA ENTRY'!D51</f>
        <v>48400</v>
      </c>
      <c r="E48" s="84">
        <f ca="1">IF('DATA ENTRY'!C51="","",IF('DATA ENTRY'!E51="",'DATA ENTRY'!D51,'DATA ENTRY'!E51))</f>
        <v>48400</v>
      </c>
      <c r="F48" s="110">
        <f>'DATA ENTRY'!J51</f>
        <v>50800</v>
      </c>
      <c r="G48" s="84">
        <f>IF('DATA ENTRY'!I51="","",IF('DATA ENTRY'!K51="",'DATA ENTRY'!J51,'DATA ENTRY'!K51))</f>
        <v>50800</v>
      </c>
    </row>
    <row r="49" spans="1:7" x14ac:dyDescent="0.3">
      <c r="A49" s="84">
        <f t="shared" si="8"/>
        <v>41</v>
      </c>
      <c r="B49" s="85">
        <f t="shared" si="7"/>
        <v>44866</v>
      </c>
      <c r="C49" s="84" t="str">
        <f t="shared" si="9"/>
        <v>Nov-22</v>
      </c>
      <c r="D49" s="110">
        <f ca="1">'DATA ENTRY'!D52</f>
        <v>48400</v>
      </c>
      <c r="E49" s="84">
        <f ca="1">IF('DATA ENTRY'!C52="","",IF('DATA ENTRY'!E52="",'DATA ENTRY'!D52,'DATA ENTRY'!E52))</f>
        <v>48400</v>
      </c>
      <c r="F49" s="110">
        <f>'DATA ENTRY'!J52</f>
        <v>50800</v>
      </c>
      <c r="G49" s="84">
        <f>IF('DATA ENTRY'!I52="","",IF('DATA ENTRY'!K52="",'DATA ENTRY'!J52,'DATA ENTRY'!K52))</f>
        <v>50800</v>
      </c>
    </row>
    <row r="50" spans="1:7" x14ac:dyDescent="0.3">
      <c r="A50" s="84">
        <f t="shared" si="8"/>
        <v>42</v>
      </c>
      <c r="B50" s="85">
        <f t="shared" si="7"/>
        <v>44896</v>
      </c>
      <c r="C50" s="84" t="str">
        <f t="shared" si="9"/>
        <v>Dec-22</v>
      </c>
      <c r="D50" s="110">
        <f ca="1">'DATA ENTRY'!D53</f>
        <v>48400</v>
      </c>
      <c r="E50" s="84">
        <f ca="1">IF('DATA ENTRY'!C53="","",IF('DATA ENTRY'!E53="",'DATA ENTRY'!D53,'DATA ENTRY'!E53))</f>
        <v>48400</v>
      </c>
      <c r="F50" s="110">
        <f>'DATA ENTRY'!J53</f>
        <v>50800</v>
      </c>
      <c r="G50" s="84">
        <f>IF('DATA ENTRY'!I53="","",IF('DATA ENTRY'!K53="",'DATA ENTRY'!J53,'DATA ENTRY'!K53))</f>
        <v>50800</v>
      </c>
    </row>
    <row r="51" spans="1:7" x14ac:dyDescent="0.3">
      <c r="A51" s="84">
        <f t="shared" si="8"/>
        <v>43</v>
      </c>
      <c r="B51" s="85">
        <f t="shared" si="7"/>
        <v>44927</v>
      </c>
      <c r="C51" s="84" t="str">
        <f t="shared" si="9"/>
        <v>Jan-23</v>
      </c>
      <c r="D51" s="110">
        <f ca="1">'DATA ENTRY'!D54</f>
        <v>48400</v>
      </c>
      <c r="E51" s="84">
        <f ca="1">IF('DATA ENTRY'!C54="","",IF('DATA ENTRY'!E54="",'DATA ENTRY'!D54,'DATA ENTRY'!E54))</f>
        <v>48400</v>
      </c>
      <c r="F51" s="110">
        <f>'DATA ENTRY'!J54</f>
        <v>50800</v>
      </c>
      <c r="G51" s="84">
        <f>IF('DATA ENTRY'!I54="","",IF('DATA ENTRY'!K54="",'DATA ENTRY'!J54,'DATA ENTRY'!K54))</f>
        <v>50800</v>
      </c>
    </row>
    <row r="52" spans="1:7" x14ac:dyDescent="0.3">
      <c r="A52" s="84" t="str">
        <f t="shared" si="8"/>
        <v/>
      </c>
      <c r="B52" s="85" t="str">
        <f t="shared" si="7"/>
        <v/>
      </c>
      <c r="C52" s="84" t="str">
        <f t="shared" si="9"/>
        <v/>
      </c>
      <c r="D52" s="110" t="str">
        <f>'DATA ENTRY'!D55</f>
        <v/>
      </c>
      <c r="E52" s="84" t="str">
        <f>IF('DATA ENTRY'!C55="","",IF('DATA ENTRY'!E55="",'DATA ENTRY'!D55,'DATA ENTRY'!E55))</f>
        <v/>
      </c>
      <c r="F52" s="110" t="str">
        <f>'DATA ENTRY'!J55</f>
        <v/>
      </c>
      <c r="G52" s="84" t="str">
        <f>IF('DATA ENTRY'!I55="","",IF('DATA ENTRY'!K55="",'DATA ENTRY'!J55,'DATA ENTRY'!K55))</f>
        <v/>
      </c>
    </row>
    <row r="53" spans="1:7" x14ac:dyDescent="0.3">
      <c r="A53" s="84" t="str">
        <f t="shared" si="8"/>
        <v/>
      </c>
      <c r="B53" s="85" t="str">
        <f t="shared" si="7"/>
        <v/>
      </c>
      <c r="C53" s="84" t="str">
        <f t="shared" si="9"/>
        <v/>
      </c>
      <c r="D53" s="110" t="str">
        <f>'DATA ENTRY'!D56</f>
        <v/>
      </c>
      <c r="E53" s="84" t="str">
        <f>IF('DATA ENTRY'!C56="","",IF('DATA ENTRY'!E56="",'DATA ENTRY'!D56,'DATA ENTRY'!E56))</f>
        <v/>
      </c>
      <c r="F53" s="110" t="str">
        <f>'DATA ENTRY'!J56</f>
        <v/>
      </c>
      <c r="G53" s="84" t="str">
        <f>IF('DATA ENTRY'!I56="","",IF('DATA ENTRY'!K56="",'DATA ENTRY'!J56,'DATA ENTRY'!K56))</f>
        <v/>
      </c>
    </row>
    <row r="54" spans="1:7" x14ac:dyDescent="0.3">
      <c r="A54" s="84" t="str">
        <f t="shared" si="8"/>
        <v/>
      </c>
      <c r="B54" s="85" t="str">
        <f t="shared" si="7"/>
        <v/>
      </c>
      <c r="C54" s="84" t="str">
        <f t="shared" si="9"/>
        <v/>
      </c>
      <c r="D54" s="110" t="str">
        <f>'DATA ENTRY'!D57</f>
        <v/>
      </c>
      <c r="E54" s="84" t="str">
        <f>IF('DATA ENTRY'!C57="","",IF('DATA ENTRY'!E57="",'DATA ENTRY'!D57,'DATA ENTRY'!E57))</f>
        <v/>
      </c>
      <c r="F54" s="110" t="str">
        <f>'DATA ENTRY'!J57</f>
        <v/>
      </c>
      <c r="G54" s="84" t="str">
        <f>IF('DATA ENTRY'!I57="","",IF('DATA ENTRY'!K57="",'DATA ENTRY'!J57,'DATA ENTRY'!K57))</f>
        <v/>
      </c>
    </row>
    <row r="55" spans="1:7" x14ac:dyDescent="0.3">
      <c r="A55" s="84" t="str">
        <f t="shared" si="8"/>
        <v/>
      </c>
      <c r="B55" s="85" t="str">
        <f t="shared" si="7"/>
        <v/>
      </c>
      <c r="C55" s="84" t="str">
        <f t="shared" si="9"/>
        <v/>
      </c>
      <c r="D55" s="110" t="str">
        <f>'DATA ENTRY'!D58</f>
        <v/>
      </c>
      <c r="E55" s="84" t="str">
        <f>IF('DATA ENTRY'!C58="","",IF('DATA ENTRY'!E58="",'DATA ENTRY'!D58,'DATA ENTRY'!E58))</f>
        <v/>
      </c>
      <c r="F55" s="110" t="str">
        <f>'DATA ENTRY'!J58</f>
        <v/>
      </c>
      <c r="G55" s="84" t="str">
        <f>IF('DATA ENTRY'!I58="","",IF('DATA ENTRY'!K58="",'DATA ENTRY'!J58,'DATA ENTRY'!K58))</f>
        <v/>
      </c>
    </row>
    <row r="56" spans="1:7" x14ac:dyDescent="0.3">
      <c r="A56" s="84" t="str">
        <f t="shared" si="8"/>
        <v/>
      </c>
      <c r="B56" s="85" t="str">
        <f t="shared" si="7"/>
        <v/>
      </c>
      <c r="C56" s="84" t="str">
        <f t="shared" si="9"/>
        <v/>
      </c>
      <c r="D56" s="110" t="str">
        <f>'DATA ENTRY'!D59</f>
        <v/>
      </c>
      <c r="E56" s="84" t="str">
        <f>IF('DATA ENTRY'!C59="","",IF('DATA ENTRY'!E59="",'DATA ENTRY'!D59,'DATA ENTRY'!E59))</f>
        <v/>
      </c>
      <c r="F56" s="110" t="str">
        <f>'DATA ENTRY'!J59</f>
        <v/>
      </c>
      <c r="G56" s="84" t="str">
        <f>IF('DATA ENTRY'!I59="","",IF('DATA ENTRY'!K59="",'DATA ENTRY'!J59,'DATA ENTRY'!K59))</f>
        <v/>
      </c>
    </row>
    <row r="57" spans="1:7" x14ac:dyDescent="0.3">
      <c r="A57" s="84" t="str">
        <f t="shared" ref="A57:A61" si="10">IF(B57="","",A56+1)</f>
        <v/>
      </c>
      <c r="B57" s="85" t="str">
        <f t="shared" si="7"/>
        <v/>
      </c>
      <c r="C57" s="84" t="str">
        <f t="shared" ref="C57:C61" si="11">TEXT(B57,"mmm"&amp;"-"&amp;"YY")</f>
        <v/>
      </c>
      <c r="D57" s="110" t="str">
        <f>'DATA ENTRY'!D60</f>
        <v/>
      </c>
      <c r="E57" s="84" t="str">
        <f>IF('DATA ENTRY'!C60="","",IF('DATA ENTRY'!E60="",'DATA ENTRY'!D60,'DATA ENTRY'!E60))</f>
        <v/>
      </c>
      <c r="F57" s="110" t="str">
        <f>'DATA ENTRY'!J60</f>
        <v/>
      </c>
      <c r="G57" s="84" t="str">
        <f>IF('DATA ENTRY'!I60="","",IF('DATA ENTRY'!K60="",'DATA ENTRY'!J60,'DATA ENTRY'!K60))</f>
        <v/>
      </c>
    </row>
    <row r="58" spans="1:7" x14ac:dyDescent="0.3">
      <c r="A58" s="84" t="str">
        <f t="shared" si="10"/>
        <v/>
      </c>
      <c r="B58" s="85" t="str">
        <f t="shared" si="7"/>
        <v/>
      </c>
      <c r="C58" s="84" t="str">
        <f t="shared" si="11"/>
        <v/>
      </c>
      <c r="D58" s="110" t="str">
        <f>'DATA ENTRY'!D61</f>
        <v/>
      </c>
      <c r="E58" s="84" t="str">
        <f>IF('DATA ENTRY'!C61="","",IF('DATA ENTRY'!E61="",'DATA ENTRY'!D61,'DATA ENTRY'!E61))</f>
        <v/>
      </c>
      <c r="F58" s="110" t="str">
        <f>'DATA ENTRY'!J61</f>
        <v/>
      </c>
      <c r="G58" s="84" t="str">
        <f>IF('DATA ENTRY'!I61="","",IF('DATA ENTRY'!K61="",'DATA ENTRY'!J61,'DATA ENTRY'!K61))</f>
        <v/>
      </c>
    </row>
    <row r="59" spans="1:7" x14ac:dyDescent="0.3">
      <c r="A59" s="84" t="str">
        <f t="shared" si="10"/>
        <v/>
      </c>
      <c r="B59" s="85" t="str">
        <f t="shared" si="7"/>
        <v/>
      </c>
      <c r="C59" s="84" t="str">
        <f t="shared" si="11"/>
        <v/>
      </c>
      <c r="D59" s="110" t="str">
        <f>'DATA ENTRY'!D62</f>
        <v/>
      </c>
      <c r="E59" s="84" t="str">
        <f>IF('DATA ENTRY'!C62="","",IF('DATA ENTRY'!E62="",'DATA ENTRY'!D62,'DATA ENTRY'!E62))</f>
        <v/>
      </c>
      <c r="F59" s="110" t="str">
        <f>'DATA ENTRY'!J62</f>
        <v/>
      </c>
      <c r="G59" s="84" t="str">
        <f>IF('DATA ENTRY'!I62="","",IF('DATA ENTRY'!K62="",'DATA ENTRY'!J62,'DATA ENTRY'!K62))</f>
        <v/>
      </c>
    </row>
    <row r="60" spans="1:7" x14ac:dyDescent="0.3">
      <c r="A60" s="84" t="str">
        <f t="shared" si="10"/>
        <v/>
      </c>
      <c r="B60" s="85" t="str">
        <f t="shared" si="7"/>
        <v/>
      </c>
      <c r="C60" s="84" t="str">
        <f t="shared" si="11"/>
        <v/>
      </c>
      <c r="D60" s="110" t="str">
        <f>'DATA ENTRY'!D63</f>
        <v/>
      </c>
      <c r="E60" s="84" t="str">
        <f>IF('DATA ENTRY'!C63="","",IF('DATA ENTRY'!E63="",'DATA ENTRY'!D63,'DATA ENTRY'!E63))</f>
        <v/>
      </c>
      <c r="F60" s="110" t="str">
        <f>'DATA ENTRY'!J63</f>
        <v/>
      </c>
      <c r="G60" s="84" t="str">
        <f>IF('DATA ENTRY'!I63="","",IF('DATA ENTRY'!K63="",'DATA ENTRY'!J63,'DATA ENTRY'!K63))</f>
        <v/>
      </c>
    </row>
    <row r="61" spans="1:7" x14ac:dyDescent="0.3">
      <c r="A61" s="84" t="str">
        <f t="shared" si="10"/>
        <v/>
      </c>
      <c r="B61" s="85" t="str">
        <f t="shared" si="7"/>
        <v/>
      </c>
      <c r="C61" s="84" t="str">
        <f t="shared" si="11"/>
        <v/>
      </c>
      <c r="D61" s="110" t="str">
        <f>'DATA ENTRY'!D64</f>
        <v/>
      </c>
      <c r="E61" s="84" t="str">
        <f>IF('DATA ENTRY'!C64="","",IF('DATA ENTRY'!E64="",'DATA ENTRY'!D64,'DATA ENTRY'!E64))</f>
        <v/>
      </c>
      <c r="F61" s="110" t="str">
        <f>'DATA ENTRY'!J64</f>
        <v/>
      </c>
      <c r="G61" s="84" t="str">
        <f>IF('DATA ENTRY'!I64="","",IF('DATA ENTRY'!K64="",'DATA ENTRY'!J64,'DATA ENTRY'!K64))</f>
        <v/>
      </c>
    </row>
    <row r="62" spans="1:7" x14ac:dyDescent="0.3">
      <c r="A62" s="84" t="str">
        <f t="shared" ref="A62:A68" si="12">IF(B62="","",A61+1)</f>
        <v/>
      </c>
      <c r="B62" s="85" t="str">
        <f t="shared" si="7"/>
        <v/>
      </c>
      <c r="C62" s="84" t="str">
        <f t="shared" ref="C62:C68" si="13">TEXT(B62,"mmm"&amp;"-"&amp;"YY")</f>
        <v/>
      </c>
      <c r="D62" s="110" t="str">
        <f>'DATA ENTRY'!D65</f>
        <v/>
      </c>
      <c r="E62" s="84" t="str">
        <f>IF('DATA ENTRY'!C65="","",IF('DATA ENTRY'!E65="",'DATA ENTRY'!D65,'DATA ENTRY'!E65))</f>
        <v/>
      </c>
      <c r="F62" s="110" t="str">
        <f>'DATA ENTRY'!J65</f>
        <v/>
      </c>
      <c r="G62" s="84" t="str">
        <f>IF('DATA ENTRY'!I65="","",IF('DATA ENTRY'!K65="",'DATA ENTRY'!J65,'DATA ENTRY'!K65))</f>
        <v/>
      </c>
    </row>
    <row r="63" spans="1:7" x14ac:dyDescent="0.3">
      <c r="A63" s="84" t="str">
        <f t="shared" si="12"/>
        <v/>
      </c>
      <c r="B63" s="85" t="str">
        <f t="shared" si="7"/>
        <v/>
      </c>
      <c r="C63" s="84" t="str">
        <f t="shared" si="13"/>
        <v/>
      </c>
      <c r="D63" s="110" t="str">
        <f>'DATA ENTRY'!D66</f>
        <v/>
      </c>
      <c r="E63" s="84" t="str">
        <f>IF('DATA ENTRY'!C66="","",IF('DATA ENTRY'!E66="",'DATA ENTRY'!D66,'DATA ENTRY'!E66))</f>
        <v/>
      </c>
      <c r="F63" s="110" t="str">
        <f>'DATA ENTRY'!J66</f>
        <v/>
      </c>
      <c r="G63" s="84" t="str">
        <f>IF('DATA ENTRY'!I66="","",IF('DATA ENTRY'!K66="",'DATA ENTRY'!J66,'DATA ENTRY'!K66))</f>
        <v/>
      </c>
    </row>
    <row r="64" spans="1:7" x14ac:dyDescent="0.3">
      <c r="A64" s="84" t="str">
        <f t="shared" si="12"/>
        <v/>
      </c>
      <c r="B64" s="85" t="str">
        <f t="shared" si="7"/>
        <v/>
      </c>
      <c r="C64" s="84" t="str">
        <f t="shared" si="13"/>
        <v/>
      </c>
      <c r="D64" s="110" t="str">
        <f>'DATA ENTRY'!D67</f>
        <v/>
      </c>
      <c r="E64" s="84" t="str">
        <f>IF('DATA ENTRY'!C67="","",IF('DATA ENTRY'!E67="",'DATA ENTRY'!D67,'DATA ENTRY'!E67))</f>
        <v/>
      </c>
      <c r="F64" s="110" t="str">
        <f>'DATA ENTRY'!J67</f>
        <v/>
      </c>
      <c r="G64" s="84" t="str">
        <f>IF('DATA ENTRY'!I67="","",IF('DATA ENTRY'!K67="",'DATA ENTRY'!J67,'DATA ENTRY'!K67))</f>
        <v/>
      </c>
    </row>
    <row r="65" spans="1:7" x14ac:dyDescent="0.3">
      <c r="A65" s="84" t="str">
        <f t="shared" si="12"/>
        <v/>
      </c>
      <c r="B65" s="85" t="str">
        <f t="shared" si="7"/>
        <v/>
      </c>
      <c r="C65" s="84" t="str">
        <f t="shared" si="13"/>
        <v/>
      </c>
      <c r="D65" s="110" t="str">
        <f>'DATA ENTRY'!D68</f>
        <v/>
      </c>
      <c r="E65" s="84" t="str">
        <f>IF('DATA ENTRY'!C68="","",IF('DATA ENTRY'!E68="",'DATA ENTRY'!D68,'DATA ENTRY'!E68))</f>
        <v/>
      </c>
      <c r="F65" s="110" t="str">
        <f>'DATA ENTRY'!J68</f>
        <v/>
      </c>
      <c r="G65" s="84" t="str">
        <f>IF('DATA ENTRY'!I68="","",IF('DATA ENTRY'!K68="",'DATA ENTRY'!J68,'DATA ENTRY'!K68))</f>
        <v/>
      </c>
    </row>
    <row r="66" spans="1:7" x14ac:dyDescent="0.3">
      <c r="A66" s="84" t="str">
        <f t="shared" si="12"/>
        <v/>
      </c>
      <c r="B66" s="85" t="str">
        <f t="shared" si="7"/>
        <v/>
      </c>
      <c r="C66" s="84" t="str">
        <f t="shared" si="13"/>
        <v/>
      </c>
      <c r="D66" s="110" t="str">
        <f>'DATA ENTRY'!D69</f>
        <v/>
      </c>
      <c r="E66" s="84" t="str">
        <f>IF('DATA ENTRY'!C69="","",IF('DATA ENTRY'!E69="",'DATA ENTRY'!D69,'DATA ENTRY'!E69))</f>
        <v/>
      </c>
      <c r="F66" s="110" t="str">
        <f>'DATA ENTRY'!J69</f>
        <v/>
      </c>
      <c r="G66" s="84" t="str">
        <f>IF('DATA ENTRY'!I69="","",IF('DATA ENTRY'!K69="",'DATA ENTRY'!J69,'DATA ENTRY'!K69))</f>
        <v/>
      </c>
    </row>
    <row r="67" spans="1:7" x14ac:dyDescent="0.3">
      <c r="A67" s="84" t="str">
        <f t="shared" si="12"/>
        <v/>
      </c>
      <c r="B67" s="85" t="str">
        <f t="shared" si="7"/>
        <v/>
      </c>
      <c r="C67" s="84" t="str">
        <f t="shared" si="13"/>
        <v/>
      </c>
      <c r="D67" s="110" t="str">
        <f>'DATA ENTRY'!D70</f>
        <v/>
      </c>
      <c r="E67" s="84" t="str">
        <f>IF('DATA ENTRY'!C70="","",IF('DATA ENTRY'!E70="",'DATA ENTRY'!D70,'DATA ENTRY'!E70))</f>
        <v/>
      </c>
      <c r="F67" s="110" t="str">
        <f>'DATA ENTRY'!J70</f>
        <v/>
      </c>
      <c r="G67" s="84" t="str">
        <f>IF('DATA ENTRY'!I70="","",IF('DATA ENTRY'!K70="",'DATA ENTRY'!J70,'DATA ENTRY'!K70))</f>
        <v/>
      </c>
    </row>
    <row r="68" spans="1:7" x14ac:dyDescent="0.3">
      <c r="A68" s="84" t="str">
        <f t="shared" si="12"/>
        <v/>
      </c>
      <c r="B68" s="85" t="str">
        <f t="shared" si="7"/>
        <v/>
      </c>
      <c r="C68" s="84" t="str">
        <f t="shared" si="13"/>
        <v/>
      </c>
      <c r="D68" s="110" t="str">
        <f>'DATA ENTRY'!D71</f>
        <v/>
      </c>
      <c r="E68" s="84" t="str">
        <f>IF('DATA ENTRY'!C71="","",IF('DATA ENTRY'!E71="",'DATA ENTRY'!D71,'DATA ENTRY'!E71))</f>
        <v/>
      </c>
      <c r="F68" s="110" t="str">
        <f>'DATA ENTRY'!J71</f>
        <v/>
      </c>
      <c r="G68" s="84" t="str">
        <f>IF('DATA ENTRY'!I71="","",IF('DATA ENTRY'!K71="",'DATA ENTRY'!J71,'DATA ENTRY'!K71))</f>
        <v/>
      </c>
    </row>
    <row r="69" spans="1:7" x14ac:dyDescent="0.3">
      <c r="A69" s="84" t="str">
        <f t="shared" ref="A69:A80" si="14">IF(B69="","",A68+1)</f>
        <v/>
      </c>
      <c r="B69" s="85" t="str">
        <f t="shared" si="7"/>
        <v/>
      </c>
      <c r="C69" s="84" t="str">
        <f t="shared" ref="C69:C80" si="15">TEXT(B69,"mmm"&amp;"-"&amp;"YY")</f>
        <v/>
      </c>
      <c r="D69" s="110" t="str">
        <f>'DATA ENTRY'!D72</f>
        <v/>
      </c>
      <c r="E69" s="84" t="str">
        <f>IF('DATA ENTRY'!C72="","",IF('DATA ENTRY'!E72="",'DATA ENTRY'!D72,'DATA ENTRY'!E72))</f>
        <v/>
      </c>
      <c r="F69" s="110" t="str">
        <f>'DATA ENTRY'!J72</f>
        <v/>
      </c>
      <c r="G69" s="84" t="str">
        <f>IF('DATA ENTRY'!I72="","",IF('DATA ENTRY'!K72="",'DATA ENTRY'!J72,'DATA ENTRY'!K72))</f>
        <v/>
      </c>
    </row>
    <row r="70" spans="1:7" x14ac:dyDescent="0.3">
      <c r="A70" s="84" t="str">
        <f t="shared" si="14"/>
        <v/>
      </c>
      <c r="B70" s="85" t="str">
        <f t="shared" si="7"/>
        <v/>
      </c>
      <c r="C70" s="84" t="str">
        <f t="shared" si="15"/>
        <v/>
      </c>
      <c r="D70" s="110" t="str">
        <f>'DATA ENTRY'!D73</f>
        <v/>
      </c>
      <c r="E70" s="84" t="str">
        <f>IF('DATA ENTRY'!C73="","",IF('DATA ENTRY'!E73="",'DATA ENTRY'!D73,'DATA ENTRY'!E73))</f>
        <v/>
      </c>
      <c r="F70" s="110" t="str">
        <f>'DATA ENTRY'!J73</f>
        <v/>
      </c>
      <c r="G70" s="84" t="str">
        <f>IF('DATA ENTRY'!I73="","",IF('DATA ENTRY'!K73="",'DATA ENTRY'!J73,'DATA ENTRY'!K73))</f>
        <v/>
      </c>
    </row>
    <row r="71" spans="1:7" x14ac:dyDescent="0.3">
      <c r="A71" s="84" t="str">
        <f t="shared" si="14"/>
        <v/>
      </c>
      <c r="B71" s="85" t="str">
        <f t="shared" si="7"/>
        <v/>
      </c>
      <c r="C71" s="84" t="str">
        <f t="shared" si="15"/>
        <v/>
      </c>
      <c r="D71" s="110" t="str">
        <f>'DATA ENTRY'!D74</f>
        <v/>
      </c>
      <c r="E71" s="84" t="str">
        <f>IF('DATA ENTRY'!C74="","",IF('DATA ENTRY'!E74="",'DATA ENTRY'!D74,'DATA ENTRY'!E74))</f>
        <v/>
      </c>
      <c r="F71" s="110" t="str">
        <f>'DATA ENTRY'!J74</f>
        <v/>
      </c>
      <c r="G71" s="84" t="str">
        <f>IF('DATA ENTRY'!I74="","",IF('DATA ENTRY'!K74="",'DATA ENTRY'!J74,'DATA ENTRY'!K74))</f>
        <v/>
      </c>
    </row>
    <row r="72" spans="1:7" x14ac:dyDescent="0.3">
      <c r="A72" s="84" t="str">
        <f t="shared" si="14"/>
        <v/>
      </c>
      <c r="B72" s="85" t="str">
        <f t="shared" si="7"/>
        <v/>
      </c>
      <c r="C72" s="84" t="str">
        <f t="shared" si="15"/>
        <v/>
      </c>
      <c r="D72" s="110" t="str">
        <f>'DATA ENTRY'!D75</f>
        <v/>
      </c>
      <c r="E72" s="84" t="str">
        <f>IF('DATA ENTRY'!C75="","",IF('DATA ENTRY'!E75="",'DATA ENTRY'!D75,'DATA ENTRY'!E75))</f>
        <v/>
      </c>
      <c r="F72" s="110" t="str">
        <f>'DATA ENTRY'!J75</f>
        <v/>
      </c>
      <c r="G72" s="84" t="str">
        <f>IF('DATA ENTRY'!I75="","",IF('DATA ENTRY'!K75="",'DATA ENTRY'!J75,'DATA ENTRY'!K75))</f>
        <v/>
      </c>
    </row>
    <row r="73" spans="1:7" x14ac:dyDescent="0.3">
      <c r="A73" s="84" t="str">
        <f t="shared" si="14"/>
        <v/>
      </c>
      <c r="B73" s="85" t="str">
        <f t="shared" si="7"/>
        <v/>
      </c>
      <c r="C73" s="84" t="str">
        <f t="shared" si="15"/>
        <v/>
      </c>
      <c r="D73" s="110" t="str">
        <f>'DATA ENTRY'!D76</f>
        <v/>
      </c>
      <c r="E73" s="84" t="str">
        <f>IF('DATA ENTRY'!C76="","",IF('DATA ENTRY'!E76="",'DATA ENTRY'!D76,'DATA ENTRY'!E76))</f>
        <v/>
      </c>
      <c r="F73" s="110" t="str">
        <f>'DATA ENTRY'!J76</f>
        <v/>
      </c>
      <c r="G73" s="84" t="str">
        <f>IF('DATA ENTRY'!I76="","",IF('DATA ENTRY'!K76="",'DATA ENTRY'!J76,'DATA ENTRY'!K76))</f>
        <v/>
      </c>
    </row>
    <row r="74" spans="1:7" x14ac:dyDescent="0.3">
      <c r="A74" s="84" t="str">
        <f t="shared" si="14"/>
        <v/>
      </c>
      <c r="B74" s="85" t="str">
        <f t="shared" si="7"/>
        <v/>
      </c>
      <c r="C74" s="84" t="str">
        <f t="shared" si="15"/>
        <v/>
      </c>
      <c r="D74" s="110" t="str">
        <f>'DATA ENTRY'!D77</f>
        <v/>
      </c>
      <c r="E74" s="84" t="str">
        <f>IF('DATA ENTRY'!C77="","",IF('DATA ENTRY'!E77="",'DATA ENTRY'!D77,'DATA ENTRY'!E77))</f>
        <v/>
      </c>
      <c r="F74" s="110" t="str">
        <f>'DATA ENTRY'!J77</f>
        <v/>
      </c>
      <c r="G74" s="84" t="str">
        <f>IF('DATA ENTRY'!I77="","",IF('DATA ENTRY'!K77="",'DATA ENTRY'!J77,'DATA ENTRY'!K77))</f>
        <v/>
      </c>
    </row>
    <row r="75" spans="1:7" x14ac:dyDescent="0.3">
      <c r="A75" s="84" t="str">
        <f t="shared" si="14"/>
        <v/>
      </c>
      <c r="B75" s="85" t="str">
        <f t="shared" si="7"/>
        <v/>
      </c>
      <c r="C75" s="84" t="str">
        <f t="shared" si="15"/>
        <v/>
      </c>
      <c r="D75" s="110" t="str">
        <f>'DATA ENTRY'!D78</f>
        <v/>
      </c>
      <c r="E75" s="84" t="str">
        <f>IF('DATA ENTRY'!C78="","",IF('DATA ENTRY'!E78="",'DATA ENTRY'!D78,'DATA ENTRY'!E78))</f>
        <v/>
      </c>
      <c r="F75" s="110" t="str">
        <f>'DATA ENTRY'!J78</f>
        <v/>
      </c>
      <c r="G75" s="84" t="str">
        <f>IF('DATA ENTRY'!I78="","",IF('DATA ENTRY'!K78="",'DATA ENTRY'!J78,'DATA ENTRY'!K78))</f>
        <v/>
      </c>
    </row>
    <row r="76" spans="1:7" x14ac:dyDescent="0.3">
      <c r="A76" s="84" t="str">
        <f t="shared" si="14"/>
        <v/>
      </c>
      <c r="B76" s="85" t="str">
        <f t="shared" si="7"/>
        <v/>
      </c>
      <c r="C76" s="84" t="str">
        <f t="shared" si="15"/>
        <v/>
      </c>
      <c r="D76" s="110" t="str">
        <f>'DATA ENTRY'!D79</f>
        <v/>
      </c>
      <c r="E76" s="84" t="str">
        <f>IF('DATA ENTRY'!C79="","",IF('DATA ENTRY'!E79="",'DATA ENTRY'!D79,'DATA ENTRY'!E79))</f>
        <v/>
      </c>
      <c r="F76" s="110" t="str">
        <f>'DATA ENTRY'!J79</f>
        <v/>
      </c>
      <c r="G76" s="84" t="str">
        <f>IF('DATA ENTRY'!I79="","",IF('DATA ENTRY'!K79="",'DATA ENTRY'!J79,'DATA ENTRY'!K79))</f>
        <v/>
      </c>
    </row>
    <row r="77" spans="1:7" x14ac:dyDescent="0.3">
      <c r="A77" s="84" t="str">
        <f t="shared" si="14"/>
        <v/>
      </c>
      <c r="B77" s="85" t="str">
        <f t="shared" si="7"/>
        <v/>
      </c>
      <c r="C77" s="84" t="str">
        <f t="shared" si="15"/>
        <v/>
      </c>
      <c r="D77" s="110" t="str">
        <f>'DATA ENTRY'!D80</f>
        <v/>
      </c>
      <c r="E77" s="84" t="str">
        <f>IF('DATA ENTRY'!C80="","",IF('DATA ENTRY'!E80="",'DATA ENTRY'!D80,'DATA ENTRY'!E80))</f>
        <v/>
      </c>
      <c r="F77" s="110" t="str">
        <f>'DATA ENTRY'!J80</f>
        <v/>
      </c>
      <c r="G77" s="84" t="str">
        <f>IF('DATA ENTRY'!I80="","",IF('DATA ENTRY'!K80="",'DATA ENTRY'!J80,'DATA ENTRY'!K80))</f>
        <v/>
      </c>
    </row>
    <row r="78" spans="1:7" x14ac:dyDescent="0.3">
      <c r="A78" s="84" t="str">
        <f t="shared" si="14"/>
        <v/>
      </c>
      <c r="B78" s="85" t="str">
        <f t="shared" si="7"/>
        <v/>
      </c>
      <c r="C78" s="84" t="str">
        <f t="shared" si="15"/>
        <v/>
      </c>
      <c r="D78" s="110" t="str">
        <f>'DATA ENTRY'!D81</f>
        <v/>
      </c>
      <c r="E78" s="84" t="str">
        <f>IF('DATA ENTRY'!C81="","",IF('DATA ENTRY'!E81="",'DATA ENTRY'!D81,'DATA ENTRY'!E81))</f>
        <v/>
      </c>
      <c r="F78" s="110" t="str">
        <f>'DATA ENTRY'!J81</f>
        <v/>
      </c>
      <c r="G78" s="84" t="str">
        <f>IF('DATA ENTRY'!I81="","",IF('DATA ENTRY'!K81="",'DATA ENTRY'!J81,'DATA ENTRY'!K81))</f>
        <v/>
      </c>
    </row>
    <row r="79" spans="1:7" x14ac:dyDescent="0.3">
      <c r="A79" s="84" t="str">
        <f t="shared" si="14"/>
        <v/>
      </c>
      <c r="B79" s="85" t="str">
        <f t="shared" si="7"/>
        <v/>
      </c>
      <c r="C79" s="84" t="str">
        <f t="shared" si="15"/>
        <v/>
      </c>
      <c r="D79" s="110" t="str">
        <f>'DATA ENTRY'!D82</f>
        <v/>
      </c>
      <c r="E79" s="84" t="str">
        <f>IF('DATA ENTRY'!C82="","",IF('DATA ENTRY'!E82="",'DATA ENTRY'!D82,'DATA ENTRY'!E82))</f>
        <v/>
      </c>
      <c r="F79" s="110" t="str">
        <f>'DATA ENTRY'!J82</f>
        <v/>
      </c>
      <c r="G79" s="84" t="str">
        <f>IF('DATA ENTRY'!I82="","",IF('DATA ENTRY'!K82="",'DATA ENTRY'!J82,'DATA ENTRY'!K82))</f>
        <v/>
      </c>
    </row>
    <row r="80" spans="1:7" x14ac:dyDescent="0.3">
      <c r="A80" s="84" t="str">
        <f t="shared" si="14"/>
        <v/>
      </c>
      <c r="B80" s="85" t="str">
        <f t="shared" si="7"/>
        <v/>
      </c>
      <c r="C80" s="84" t="str">
        <f t="shared" si="15"/>
        <v/>
      </c>
      <c r="D80" s="110" t="str">
        <f>'DATA ENTRY'!D83</f>
        <v/>
      </c>
      <c r="E80" s="84" t="str">
        <f>IF('DATA ENTRY'!C83="","",IF('DATA ENTRY'!E83="",'DATA ENTRY'!D83,'DATA ENTRY'!E83))</f>
        <v/>
      </c>
      <c r="F80" s="110" t="str">
        <f>'DATA ENTRY'!J83</f>
        <v/>
      </c>
      <c r="G80" s="84" t="str">
        <f>IF('DATA ENTRY'!I83="","",IF('DATA ENTRY'!K83="",'DATA ENTRY'!J83,'DATA ENTRY'!K83))</f>
        <v/>
      </c>
    </row>
    <row r="81" spans="1:7" x14ac:dyDescent="0.3">
      <c r="A81" s="84" t="str">
        <f t="shared" ref="A81:A92" si="16">IF(B81="","",A80+1)</f>
        <v/>
      </c>
      <c r="B81" s="85" t="str">
        <f t="shared" si="7"/>
        <v/>
      </c>
      <c r="C81" s="84" t="str">
        <f t="shared" ref="C81:C92" si="17">TEXT(B81,"mmm"&amp;"-"&amp;"YY")</f>
        <v/>
      </c>
      <c r="D81" s="110" t="str">
        <f>'DATA ENTRY'!D84</f>
        <v/>
      </c>
      <c r="E81" s="84" t="str">
        <f>IF('DATA ENTRY'!C84="","",IF('DATA ENTRY'!E84="",'DATA ENTRY'!D84,'DATA ENTRY'!E84))</f>
        <v/>
      </c>
      <c r="F81" s="110" t="str">
        <f>'DATA ENTRY'!J84</f>
        <v/>
      </c>
      <c r="G81" s="84" t="str">
        <f>IF('DATA ENTRY'!I84="","",IF('DATA ENTRY'!K84="",'DATA ENTRY'!J84,'DATA ENTRY'!K84))</f>
        <v/>
      </c>
    </row>
    <row r="82" spans="1:7" x14ac:dyDescent="0.3">
      <c r="A82" s="84" t="str">
        <f t="shared" si="16"/>
        <v/>
      </c>
      <c r="B82" s="85" t="str">
        <f t="shared" si="7"/>
        <v/>
      </c>
      <c r="C82" s="84" t="str">
        <f t="shared" si="17"/>
        <v/>
      </c>
      <c r="D82" s="110" t="str">
        <f>'DATA ENTRY'!D85</f>
        <v/>
      </c>
      <c r="E82" s="84" t="str">
        <f>IF('DATA ENTRY'!C85="","",IF('DATA ENTRY'!E85="",'DATA ENTRY'!D85,'DATA ENTRY'!E85))</f>
        <v/>
      </c>
      <c r="F82" s="110" t="str">
        <f>'DATA ENTRY'!J85</f>
        <v/>
      </c>
      <c r="G82" s="84" t="str">
        <f>IF('DATA ENTRY'!I85="","",IF('DATA ENTRY'!K85="",'DATA ENTRY'!J85,'DATA ENTRY'!K85))</f>
        <v/>
      </c>
    </row>
    <row r="83" spans="1:7" x14ac:dyDescent="0.3">
      <c r="A83" s="84" t="str">
        <f t="shared" si="16"/>
        <v/>
      </c>
      <c r="B83" s="85" t="str">
        <f t="shared" si="7"/>
        <v/>
      </c>
      <c r="C83" s="84" t="str">
        <f t="shared" si="17"/>
        <v/>
      </c>
      <c r="D83" s="110" t="str">
        <f>'DATA ENTRY'!D86</f>
        <v/>
      </c>
      <c r="E83" s="84" t="str">
        <f>IF('DATA ENTRY'!C86="","",IF('DATA ENTRY'!E86="",'DATA ENTRY'!D86,'DATA ENTRY'!E86))</f>
        <v/>
      </c>
      <c r="F83" s="110" t="str">
        <f>'DATA ENTRY'!J86</f>
        <v/>
      </c>
      <c r="G83" s="84" t="str">
        <f>IF('DATA ENTRY'!I86="","",IF('DATA ENTRY'!K86="",'DATA ENTRY'!J86,'DATA ENTRY'!K86))</f>
        <v/>
      </c>
    </row>
    <row r="84" spans="1:7" x14ac:dyDescent="0.3">
      <c r="A84" s="84" t="str">
        <f t="shared" si="16"/>
        <v/>
      </c>
      <c r="B84" s="85" t="str">
        <f t="shared" si="7"/>
        <v/>
      </c>
      <c r="C84" s="84" t="str">
        <f t="shared" si="17"/>
        <v/>
      </c>
      <c r="D84" s="110" t="str">
        <f>'DATA ENTRY'!D87</f>
        <v/>
      </c>
      <c r="E84" s="84" t="str">
        <f>IF('DATA ENTRY'!C87="","",IF('DATA ENTRY'!E87="",'DATA ENTRY'!D87,'DATA ENTRY'!E87))</f>
        <v/>
      </c>
      <c r="F84" s="110" t="str">
        <f>'DATA ENTRY'!J87</f>
        <v/>
      </c>
      <c r="G84" s="84" t="str">
        <f>IF('DATA ENTRY'!I87="","",IF('DATA ENTRY'!K87="",'DATA ENTRY'!J87,'DATA ENTRY'!K87))</f>
        <v/>
      </c>
    </row>
    <row r="85" spans="1:7" x14ac:dyDescent="0.3">
      <c r="A85" s="84" t="str">
        <f t="shared" si="16"/>
        <v/>
      </c>
      <c r="B85" s="85" t="str">
        <f t="shared" si="7"/>
        <v/>
      </c>
      <c r="C85" s="84" t="str">
        <f t="shared" si="17"/>
        <v/>
      </c>
      <c r="D85" s="110" t="str">
        <f>'DATA ENTRY'!D88</f>
        <v/>
      </c>
      <c r="E85" s="84" t="str">
        <f>IF('DATA ENTRY'!C88="","",IF('DATA ENTRY'!E88="",'DATA ENTRY'!D88,'DATA ENTRY'!E88))</f>
        <v/>
      </c>
      <c r="F85" s="110" t="str">
        <f>'DATA ENTRY'!J88</f>
        <v/>
      </c>
      <c r="G85" s="84" t="str">
        <f>IF('DATA ENTRY'!I88="","",IF('DATA ENTRY'!K88="",'DATA ENTRY'!J88,'DATA ENTRY'!K88))</f>
        <v/>
      </c>
    </row>
    <row r="86" spans="1:7" x14ac:dyDescent="0.3">
      <c r="A86" s="84" t="str">
        <f t="shared" si="16"/>
        <v/>
      </c>
      <c r="B86" s="85" t="str">
        <f t="shared" si="7"/>
        <v/>
      </c>
      <c r="C86" s="84" t="str">
        <f t="shared" si="17"/>
        <v/>
      </c>
      <c r="D86" s="110" t="str">
        <f>'DATA ENTRY'!D89</f>
        <v/>
      </c>
      <c r="E86" s="84" t="str">
        <f>IF('DATA ENTRY'!C89="","",IF('DATA ENTRY'!E89="",'DATA ENTRY'!D89,'DATA ENTRY'!E89))</f>
        <v/>
      </c>
      <c r="F86" s="110" t="str">
        <f>'DATA ENTRY'!J89</f>
        <v/>
      </c>
      <c r="G86" s="84" t="str">
        <f>IF('DATA ENTRY'!I89="","",IF('DATA ENTRY'!K89="",'DATA ENTRY'!J89,'DATA ENTRY'!K89))</f>
        <v/>
      </c>
    </row>
    <row r="87" spans="1:7" x14ac:dyDescent="0.3">
      <c r="A87" s="84" t="str">
        <f t="shared" si="16"/>
        <v/>
      </c>
      <c r="B87" s="85" t="str">
        <f t="shared" si="7"/>
        <v/>
      </c>
      <c r="C87" s="84" t="str">
        <f t="shared" si="17"/>
        <v/>
      </c>
      <c r="D87" s="110" t="str">
        <f>'DATA ENTRY'!D90</f>
        <v/>
      </c>
      <c r="E87" s="84" t="str">
        <f>IF('DATA ENTRY'!C90="","",IF('DATA ENTRY'!E90="",'DATA ENTRY'!D90,'DATA ENTRY'!E90))</f>
        <v/>
      </c>
      <c r="F87" s="110" t="str">
        <f>'DATA ENTRY'!J90</f>
        <v/>
      </c>
      <c r="G87" s="84" t="str">
        <f>IF('DATA ENTRY'!I90="","",IF('DATA ENTRY'!K90="",'DATA ENTRY'!J90,'DATA ENTRY'!K90))</f>
        <v/>
      </c>
    </row>
    <row r="88" spans="1:7" x14ac:dyDescent="0.3">
      <c r="A88" s="84" t="str">
        <f t="shared" si="16"/>
        <v/>
      </c>
      <c r="B88" s="85" t="str">
        <f t="shared" si="7"/>
        <v/>
      </c>
      <c r="C88" s="84" t="str">
        <f t="shared" si="17"/>
        <v/>
      </c>
      <c r="D88" s="110" t="str">
        <f>'DATA ENTRY'!D91</f>
        <v/>
      </c>
      <c r="E88" s="84" t="str">
        <f>IF('DATA ENTRY'!C91="","",IF('DATA ENTRY'!E91="",'DATA ENTRY'!D91,'DATA ENTRY'!E91))</f>
        <v/>
      </c>
      <c r="F88" s="110" t="str">
        <f>'DATA ENTRY'!J91</f>
        <v/>
      </c>
      <c r="G88" s="84" t="str">
        <f>IF('DATA ENTRY'!I91="","",IF('DATA ENTRY'!K91="",'DATA ENTRY'!J91,'DATA ENTRY'!K91))</f>
        <v/>
      </c>
    </row>
    <row r="89" spans="1:7" x14ac:dyDescent="0.3">
      <c r="A89" s="84" t="str">
        <f t="shared" si="16"/>
        <v/>
      </c>
      <c r="B89" s="85" t="str">
        <f t="shared" si="7"/>
        <v/>
      </c>
      <c r="C89" s="84" t="str">
        <f t="shared" si="17"/>
        <v/>
      </c>
      <c r="D89" s="110" t="str">
        <f>'DATA ENTRY'!D92</f>
        <v/>
      </c>
      <c r="E89" s="84" t="str">
        <f>IF('DATA ENTRY'!C92="","",IF('DATA ENTRY'!E92="",'DATA ENTRY'!D92,'DATA ENTRY'!E92))</f>
        <v/>
      </c>
      <c r="F89" s="110" t="str">
        <f>'DATA ENTRY'!J92</f>
        <v/>
      </c>
      <c r="G89" s="84" t="str">
        <f>IF('DATA ENTRY'!I92="","",IF('DATA ENTRY'!K92="",'DATA ENTRY'!J92,'DATA ENTRY'!K92))</f>
        <v/>
      </c>
    </row>
    <row r="90" spans="1:7" x14ac:dyDescent="0.3">
      <c r="A90" s="84" t="str">
        <f t="shared" si="16"/>
        <v/>
      </c>
      <c r="B90" s="85" t="str">
        <f t="shared" si="7"/>
        <v/>
      </c>
      <c r="C90" s="84" t="str">
        <f t="shared" si="17"/>
        <v/>
      </c>
      <c r="D90" s="110" t="str">
        <f>'DATA ENTRY'!D93</f>
        <v/>
      </c>
      <c r="E90" s="84" t="str">
        <f>IF('DATA ENTRY'!C93="","",IF('DATA ENTRY'!E93="",'DATA ENTRY'!D93,'DATA ENTRY'!E93))</f>
        <v/>
      </c>
      <c r="F90" s="110" t="str">
        <f>'DATA ENTRY'!J93</f>
        <v/>
      </c>
      <c r="G90" s="84" t="str">
        <f>IF('DATA ENTRY'!I93="","",IF('DATA ENTRY'!K93="",'DATA ENTRY'!J93,'DATA ENTRY'!K93))</f>
        <v/>
      </c>
    </row>
    <row r="91" spans="1:7" x14ac:dyDescent="0.3">
      <c r="A91" s="84" t="str">
        <f t="shared" si="16"/>
        <v/>
      </c>
      <c r="B91" s="85" t="str">
        <f t="shared" si="7"/>
        <v/>
      </c>
      <c r="C91" s="84" t="str">
        <f t="shared" si="17"/>
        <v/>
      </c>
      <c r="D91" s="110" t="str">
        <f>'DATA ENTRY'!D94</f>
        <v/>
      </c>
      <c r="E91" s="84" t="str">
        <f>IF('DATA ENTRY'!C94="","",IF('DATA ENTRY'!E94="",'DATA ENTRY'!D94,'DATA ENTRY'!E94))</f>
        <v/>
      </c>
      <c r="F91" s="110" t="str">
        <f>'DATA ENTRY'!J94</f>
        <v/>
      </c>
      <c r="G91" s="84" t="str">
        <f>IF('DATA ENTRY'!I94="","",IF('DATA ENTRY'!K94="",'DATA ENTRY'!J94,'DATA ENTRY'!K94))</f>
        <v/>
      </c>
    </row>
    <row r="92" spans="1:7" x14ac:dyDescent="0.3">
      <c r="A92" s="84" t="str">
        <f t="shared" si="16"/>
        <v/>
      </c>
      <c r="B92" s="85" t="str">
        <f t="shared" si="7"/>
        <v/>
      </c>
      <c r="C92" s="84" t="str">
        <f t="shared" si="17"/>
        <v/>
      </c>
      <c r="D92" s="110" t="str">
        <f>'DATA ENTRY'!D95</f>
        <v/>
      </c>
      <c r="E92" s="84" t="str">
        <f>IF('DATA ENTRY'!C95="","",IF('DATA ENTRY'!E95="",'DATA ENTRY'!D95,'DATA ENTRY'!E95))</f>
        <v/>
      </c>
      <c r="F92" s="110" t="str">
        <f>'DATA ENTRY'!J95</f>
        <v/>
      </c>
      <c r="G92" s="84" t="str">
        <f>IF('DATA ENTRY'!I95="","",IF('DATA ENTRY'!K95="",'DATA ENTRY'!J95,'DATA ENTRY'!K95))</f>
        <v/>
      </c>
    </row>
  </sheetData>
  <mergeCells count="8">
    <mergeCell ref="B7:C7"/>
    <mergeCell ref="X7:X10"/>
    <mergeCell ref="X3:X6"/>
    <mergeCell ref="F4:G5"/>
    <mergeCell ref="D7:E7"/>
    <mergeCell ref="F7:G7"/>
    <mergeCell ref="K2:W6"/>
    <mergeCell ref="J2:J6"/>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Y60"/>
  <sheetViews>
    <sheetView workbookViewId="0">
      <selection activeCell="B50" sqref="B50"/>
    </sheetView>
  </sheetViews>
  <sheetFormatPr defaultColWidth="9.21875" defaultRowHeight="14.4" x14ac:dyDescent="0.3"/>
  <cols>
    <col min="1" max="1" width="12.21875" style="3" bestFit="1" customWidth="1"/>
    <col min="2" max="10" width="6" style="3" bestFit="1" customWidth="1"/>
    <col min="11" max="25" width="7" style="3" bestFit="1" customWidth="1"/>
    <col min="26" max="16384" width="9.21875" style="3"/>
  </cols>
  <sheetData>
    <row r="1" spans="1:25" ht="30" customHeight="1" x14ac:dyDescent="0.3">
      <c r="A1" s="2" t="s">
        <v>4</v>
      </c>
      <c r="B1" s="384" t="s">
        <v>78</v>
      </c>
      <c r="C1" s="384"/>
      <c r="D1" s="384"/>
      <c r="E1" s="384"/>
      <c r="F1" s="384"/>
      <c r="G1" s="384"/>
      <c r="H1" s="384"/>
      <c r="I1" s="384"/>
      <c r="J1" s="384"/>
      <c r="K1" s="384" t="s">
        <v>79</v>
      </c>
      <c r="L1" s="384"/>
      <c r="M1" s="384"/>
      <c r="N1" s="384"/>
      <c r="O1" s="384" t="s">
        <v>80</v>
      </c>
      <c r="P1" s="384"/>
      <c r="Q1" s="384"/>
      <c r="R1" s="384"/>
      <c r="S1" s="384"/>
      <c r="T1" s="384"/>
      <c r="U1" s="384"/>
      <c r="V1" s="384"/>
      <c r="W1" s="384" t="s">
        <v>81</v>
      </c>
      <c r="X1" s="384"/>
      <c r="Y1" s="384"/>
    </row>
    <row r="2" spans="1:25" x14ac:dyDescent="0.3">
      <c r="A2" s="4" t="s">
        <v>5</v>
      </c>
      <c r="B2" s="5">
        <v>1700</v>
      </c>
      <c r="C2" s="5">
        <v>1750</v>
      </c>
      <c r="D2" s="5">
        <v>1900</v>
      </c>
      <c r="E2" s="5">
        <v>2000</v>
      </c>
      <c r="F2" s="5">
        <v>2400</v>
      </c>
      <c r="G2" s="5">
        <v>2400</v>
      </c>
      <c r="H2" s="5">
        <v>2400</v>
      </c>
      <c r="I2" s="5">
        <v>2800</v>
      </c>
      <c r="J2" s="5">
        <v>2800</v>
      </c>
      <c r="K2" s="6">
        <v>3600</v>
      </c>
      <c r="L2" s="6">
        <v>4200</v>
      </c>
      <c r="M2" s="5">
        <v>4800</v>
      </c>
      <c r="N2" s="6">
        <v>5400</v>
      </c>
      <c r="O2" s="5">
        <v>5400</v>
      </c>
      <c r="P2" s="6">
        <v>6000</v>
      </c>
      <c r="Q2" s="6">
        <v>6600</v>
      </c>
      <c r="R2" s="5">
        <v>6800</v>
      </c>
      <c r="S2" s="7">
        <v>7200</v>
      </c>
      <c r="T2" s="5">
        <v>7600</v>
      </c>
      <c r="U2" s="8">
        <v>8200</v>
      </c>
      <c r="V2" s="5">
        <v>8700</v>
      </c>
      <c r="W2" s="7">
        <v>8900</v>
      </c>
      <c r="X2" s="5">
        <v>9500</v>
      </c>
      <c r="Y2" s="5">
        <v>10000</v>
      </c>
    </row>
    <row r="3" spans="1:25" x14ac:dyDescent="0.3">
      <c r="A3" s="9" t="s">
        <v>6</v>
      </c>
      <c r="B3" s="10">
        <v>2</v>
      </c>
      <c r="C3" s="10">
        <v>3</v>
      </c>
      <c r="D3" s="10">
        <v>4</v>
      </c>
      <c r="E3" s="10">
        <v>5</v>
      </c>
      <c r="F3" s="10">
        <v>9</v>
      </c>
      <c r="G3" s="4" t="s">
        <v>7</v>
      </c>
      <c r="H3" s="4" t="s">
        <v>8</v>
      </c>
      <c r="I3" s="10">
        <v>10</v>
      </c>
      <c r="J3" s="4" t="s">
        <v>9</v>
      </c>
      <c r="K3" s="11">
        <v>11</v>
      </c>
      <c r="L3" s="11">
        <v>12</v>
      </c>
      <c r="M3" s="10">
        <v>14</v>
      </c>
      <c r="N3" s="11">
        <v>15</v>
      </c>
      <c r="O3" s="10">
        <v>15</v>
      </c>
      <c r="P3" s="11">
        <v>16</v>
      </c>
      <c r="Q3" s="11">
        <v>17</v>
      </c>
      <c r="R3" s="10">
        <v>18</v>
      </c>
      <c r="S3" s="11">
        <v>19</v>
      </c>
      <c r="T3" s="10">
        <v>20</v>
      </c>
      <c r="U3" s="11">
        <v>21</v>
      </c>
      <c r="V3" s="10">
        <v>22</v>
      </c>
      <c r="W3" s="11">
        <v>23</v>
      </c>
      <c r="X3" s="4" t="s">
        <v>10</v>
      </c>
      <c r="Y3" s="10">
        <v>24</v>
      </c>
    </row>
    <row r="4" spans="1:25" x14ac:dyDescent="0.3">
      <c r="A4" s="12" t="s">
        <v>11</v>
      </c>
      <c r="B4" s="13" t="s">
        <v>32</v>
      </c>
      <c r="C4" s="13" t="s">
        <v>33</v>
      </c>
      <c r="D4" s="13" t="s">
        <v>34</v>
      </c>
      <c r="E4" s="13" t="s">
        <v>35</v>
      </c>
      <c r="F4" s="13" t="s">
        <v>36</v>
      </c>
      <c r="G4" s="13" t="s">
        <v>37</v>
      </c>
      <c r="H4" s="13" t="s">
        <v>38</v>
      </c>
      <c r="I4" s="13" t="s">
        <v>39</v>
      </c>
      <c r="J4" s="13" t="s">
        <v>40</v>
      </c>
      <c r="K4" s="14" t="s">
        <v>41</v>
      </c>
      <c r="L4" s="14" t="s">
        <v>42</v>
      </c>
      <c r="M4" s="13" t="s">
        <v>43</v>
      </c>
      <c r="N4" s="14" t="s">
        <v>44</v>
      </c>
      <c r="O4" s="13" t="s">
        <v>45</v>
      </c>
      <c r="P4" s="14" t="s">
        <v>46</v>
      </c>
      <c r="Q4" s="14" t="s">
        <v>47</v>
      </c>
      <c r="R4" s="13" t="s">
        <v>48</v>
      </c>
      <c r="S4" s="14" t="s">
        <v>49</v>
      </c>
      <c r="T4" s="13" t="s">
        <v>50</v>
      </c>
      <c r="U4" s="14" t="s">
        <v>51</v>
      </c>
      <c r="V4" s="13" t="s">
        <v>52</v>
      </c>
      <c r="W4" s="14" t="s">
        <v>53</v>
      </c>
      <c r="X4" s="13" t="s">
        <v>54</v>
      </c>
      <c r="Y4" s="13" t="s">
        <v>55</v>
      </c>
    </row>
    <row r="5" spans="1:25" x14ac:dyDescent="0.3">
      <c r="A5" s="9" t="s">
        <v>12</v>
      </c>
      <c r="B5" s="15">
        <v>1</v>
      </c>
      <c r="C5" s="15">
        <v>2</v>
      </c>
      <c r="D5" s="15">
        <v>3</v>
      </c>
      <c r="E5" s="15">
        <v>4</v>
      </c>
      <c r="F5" s="15">
        <v>5</v>
      </c>
      <c r="G5" s="15">
        <v>6</v>
      </c>
      <c r="H5" s="15">
        <v>7</v>
      </c>
      <c r="I5" s="15">
        <v>8</v>
      </c>
      <c r="J5" s="15">
        <v>9</v>
      </c>
      <c r="K5" s="15">
        <v>10</v>
      </c>
      <c r="L5" s="15">
        <v>11</v>
      </c>
      <c r="M5" s="15">
        <v>12</v>
      </c>
      <c r="N5" s="15">
        <v>13</v>
      </c>
      <c r="O5" s="15">
        <v>14</v>
      </c>
      <c r="P5" s="15">
        <v>15</v>
      </c>
      <c r="Q5" s="15">
        <v>16</v>
      </c>
      <c r="R5" s="15">
        <v>17</v>
      </c>
      <c r="S5" s="15">
        <v>18</v>
      </c>
      <c r="T5" s="15">
        <v>19</v>
      </c>
      <c r="U5" s="15">
        <v>20</v>
      </c>
      <c r="V5" s="15">
        <v>21</v>
      </c>
      <c r="W5" s="15">
        <v>22</v>
      </c>
      <c r="X5" s="15">
        <v>23</v>
      </c>
      <c r="Y5" s="15">
        <v>24</v>
      </c>
    </row>
    <row r="6" spans="1:25" ht="16.8" x14ac:dyDescent="0.3">
      <c r="A6" s="16">
        <v>1</v>
      </c>
      <c r="B6" s="17">
        <v>17700</v>
      </c>
      <c r="C6" s="17">
        <v>17900</v>
      </c>
      <c r="D6" s="17">
        <v>18200</v>
      </c>
      <c r="E6" s="17">
        <v>19200</v>
      </c>
      <c r="F6" s="17">
        <v>20800</v>
      </c>
      <c r="G6" s="17">
        <v>21500</v>
      </c>
      <c r="H6" s="17">
        <v>22400</v>
      </c>
      <c r="I6" s="17">
        <v>26300</v>
      </c>
      <c r="J6" s="17">
        <v>28700</v>
      </c>
      <c r="K6" s="17">
        <v>33800</v>
      </c>
      <c r="L6" s="17">
        <v>37800</v>
      </c>
      <c r="M6" s="17">
        <v>44300</v>
      </c>
      <c r="N6" s="17">
        <v>53100</v>
      </c>
      <c r="O6" s="17">
        <v>56100</v>
      </c>
      <c r="P6" s="17">
        <v>60700</v>
      </c>
      <c r="Q6" s="17">
        <v>67300</v>
      </c>
      <c r="R6" s="17">
        <v>71000</v>
      </c>
      <c r="S6" s="17">
        <v>75300</v>
      </c>
      <c r="T6" s="17">
        <v>79900</v>
      </c>
      <c r="U6" s="17">
        <v>88900</v>
      </c>
      <c r="V6" s="17">
        <v>123100</v>
      </c>
      <c r="W6" s="17">
        <v>129700</v>
      </c>
      <c r="X6" s="17">
        <v>145800</v>
      </c>
      <c r="Y6" s="17">
        <v>148800</v>
      </c>
    </row>
    <row r="7" spans="1:25" ht="16.8" x14ac:dyDescent="0.3">
      <c r="A7" s="16">
        <v>2</v>
      </c>
      <c r="B7" s="17">
        <v>18200</v>
      </c>
      <c r="C7" s="17">
        <v>18400</v>
      </c>
      <c r="D7" s="17">
        <v>18700</v>
      </c>
      <c r="E7" s="17">
        <v>19800</v>
      </c>
      <c r="F7" s="17">
        <v>21400</v>
      </c>
      <c r="G7" s="17">
        <v>22100</v>
      </c>
      <c r="H7" s="17">
        <v>23100</v>
      </c>
      <c r="I7" s="17">
        <v>27100</v>
      </c>
      <c r="J7" s="17">
        <v>29600</v>
      </c>
      <c r="K7" s="17">
        <v>34800</v>
      </c>
      <c r="L7" s="17">
        <v>38900</v>
      </c>
      <c r="M7" s="17">
        <v>45600</v>
      </c>
      <c r="N7" s="17">
        <v>54700</v>
      </c>
      <c r="O7" s="17">
        <v>57800</v>
      </c>
      <c r="P7" s="17">
        <v>62500</v>
      </c>
      <c r="Q7" s="17">
        <v>69300</v>
      </c>
      <c r="R7" s="17">
        <v>73100</v>
      </c>
      <c r="S7" s="17">
        <v>77600</v>
      </c>
      <c r="T7" s="17">
        <v>82300</v>
      </c>
      <c r="U7" s="17">
        <v>91600</v>
      </c>
      <c r="V7" s="17">
        <v>126800</v>
      </c>
      <c r="W7" s="17">
        <v>133600</v>
      </c>
      <c r="X7" s="17">
        <v>150200</v>
      </c>
      <c r="Y7" s="17">
        <v>153300</v>
      </c>
    </row>
    <row r="8" spans="1:25" ht="16.8" x14ac:dyDescent="0.3">
      <c r="A8" s="16">
        <v>3</v>
      </c>
      <c r="B8" s="17">
        <v>18700</v>
      </c>
      <c r="C8" s="17">
        <v>19000</v>
      </c>
      <c r="D8" s="17">
        <v>19300</v>
      </c>
      <c r="E8" s="17">
        <v>20400</v>
      </c>
      <c r="F8" s="17">
        <v>22000</v>
      </c>
      <c r="G8" s="17">
        <v>22800</v>
      </c>
      <c r="H8" s="17">
        <v>23800</v>
      </c>
      <c r="I8" s="17">
        <v>27900</v>
      </c>
      <c r="J8" s="17">
        <v>30500</v>
      </c>
      <c r="K8" s="17">
        <v>35800</v>
      </c>
      <c r="L8" s="17">
        <v>40100</v>
      </c>
      <c r="M8" s="17">
        <v>47000</v>
      </c>
      <c r="N8" s="17">
        <v>56300</v>
      </c>
      <c r="O8" s="17">
        <v>59500</v>
      </c>
      <c r="P8" s="17">
        <v>64400</v>
      </c>
      <c r="Q8" s="17">
        <v>71400</v>
      </c>
      <c r="R8" s="17">
        <v>75300</v>
      </c>
      <c r="S8" s="17">
        <v>79900</v>
      </c>
      <c r="T8" s="17">
        <v>84800</v>
      </c>
      <c r="U8" s="17">
        <v>94300</v>
      </c>
      <c r="V8" s="17">
        <v>130600</v>
      </c>
      <c r="W8" s="17">
        <v>137600</v>
      </c>
      <c r="X8" s="17">
        <v>154700</v>
      </c>
      <c r="Y8" s="17">
        <v>157900</v>
      </c>
    </row>
    <row r="9" spans="1:25" ht="16.8" x14ac:dyDescent="0.3">
      <c r="A9" s="16">
        <v>4</v>
      </c>
      <c r="B9" s="17">
        <v>19300</v>
      </c>
      <c r="C9" s="17">
        <v>19600</v>
      </c>
      <c r="D9" s="17">
        <v>19900</v>
      </c>
      <c r="E9" s="17">
        <v>21000</v>
      </c>
      <c r="F9" s="17">
        <v>22700</v>
      </c>
      <c r="G9" s="17">
        <v>23500</v>
      </c>
      <c r="H9" s="17">
        <v>24500</v>
      </c>
      <c r="I9" s="17">
        <v>28700</v>
      </c>
      <c r="J9" s="17">
        <v>31400</v>
      </c>
      <c r="K9" s="17">
        <v>36900</v>
      </c>
      <c r="L9" s="17">
        <v>41300</v>
      </c>
      <c r="M9" s="17">
        <v>48400</v>
      </c>
      <c r="N9" s="17">
        <v>58000</v>
      </c>
      <c r="O9" s="17">
        <v>61300</v>
      </c>
      <c r="P9" s="17">
        <v>66300</v>
      </c>
      <c r="Q9" s="17">
        <v>73500</v>
      </c>
      <c r="R9" s="17">
        <v>77600</v>
      </c>
      <c r="S9" s="17">
        <v>82300</v>
      </c>
      <c r="T9" s="17">
        <v>87300</v>
      </c>
      <c r="U9" s="17">
        <v>97100</v>
      </c>
      <c r="V9" s="17">
        <v>134500</v>
      </c>
      <c r="W9" s="17">
        <v>141700</v>
      </c>
      <c r="X9" s="17">
        <v>159300</v>
      </c>
      <c r="Y9" s="17">
        <v>162600</v>
      </c>
    </row>
    <row r="10" spans="1:25" ht="16.8" x14ac:dyDescent="0.3">
      <c r="A10" s="16">
        <v>5</v>
      </c>
      <c r="B10" s="17">
        <v>19900</v>
      </c>
      <c r="C10" s="17">
        <v>20200</v>
      </c>
      <c r="D10" s="17">
        <v>20500</v>
      </c>
      <c r="E10" s="17">
        <v>21600</v>
      </c>
      <c r="F10" s="17">
        <v>23400</v>
      </c>
      <c r="G10" s="17">
        <v>24200</v>
      </c>
      <c r="H10" s="17">
        <v>25200</v>
      </c>
      <c r="I10" s="17">
        <v>29600</v>
      </c>
      <c r="J10" s="17">
        <v>32300</v>
      </c>
      <c r="K10" s="17">
        <v>38000</v>
      </c>
      <c r="L10" s="17">
        <v>42500</v>
      </c>
      <c r="M10" s="17">
        <v>49900</v>
      </c>
      <c r="N10" s="17">
        <v>59700</v>
      </c>
      <c r="O10" s="17">
        <v>63100</v>
      </c>
      <c r="P10" s="17">
        <v>68300</v>
      </c>
      <c r="Q10" s="17">
        <v>75700</v>
      </c>
      <c r="R10" s="17">
        <v>79900</v>
      </c>
      <c r="S10" s="17">
        <v>84800</v>
      </c>
      <c r="T10" s="17">
        <v>89900</v>
      </c>
      <c r="U10" s="17">
        <v>100000</v>
      </c>
      <c r="V10" s="17">
        <v>138500</v>
      </c>
      <c r="W10" s="17">
        <v>146000</v>
      </c>
      <c r="X10" s="17">
        <v>164100</v>
      </c>
      <c r="Y10" s="17">
        <v>167500</v>
      </c>
    </row>
    <row r="11" spans="1:25" ht="16.8" x14ac:dyDescent="0.3">
      <c r="A11" s="16">
        <v>6</v>
      </c>
      <c r="B11" s="17">
        <v>20500</v>
      </c>
      <c r="C11" s="17">
        <v>20800</v>
      </c>
      <c r="D11" s="17">
        <v>21100</v>
      </c>
      <c r="E11" s="17">
        <v>22200</v>
      </c>
      <c r="F11" s="17">
        <v>24100</v>
      </c>
      <c r="G11" s="17">
        <v>24900</v>
      </c>
      <c r="H11" s="17">
        <v>26000</v>
      </c>
      <c r="I11" s="17">
        <v>30500</v>
      </c>
      <c r="J11" s="17">
        <v>33300</v>
      </c>
      <c r="K11" s="17">
        <v>39100</v>
      </c>
      <c r="L11" s="17">
        <v>43800</v>
      </c>
      <c r="M11" s="17">
        <v>51400</v>
      </c>
      <c r="N11" s="17">
        <v>61500</v>
      </c>
      <c r="O11" s="17">
        <v>65000</v>
      </c>
      <c r="P11" s="17">
        <v>70300</v>
      </c>
      <c r="Q11" s="17">
        <v>78000</v>
      </c>
      <c r="R11" s="17">
        <v>82300</v>
      </c>
      <c r="S11" s="17">
        <v>87300</v>
      </c>
      <c r="T11" s="17">
        <v>92600</v>
      </c>
      <c r="U11" s="17">
        <v>103000</v>
      </c>
      <c r="V11" s="17">
        <v>142700</v>
      </c>
      <c r="W11" s="17">
        <v>150400</v>
      </c>
      <c r="X11" s="17">
        <v>169000</v>
      </c>
      <c r="Y11" s="17">
        <v>172500</v>
      </c>
    </row>
    <row r="12" spans="1:25" ht="16.8" x14ac:dyDescent="0.3">
      <c r="A12" s="16">
        <v>7</v>
      </c>
      <c r="B12" s="17">
        <v>21100</v>
      </c>
      <c r="C12" s="17">
        <v>21400</v>
      </c>
      <c r="D12" s="17">
        <v>21700</v>
      </c>
      <c r="E12" s="17">
        <v>22900</v>
      </c>
      <c r="F12" s="17">
        <v>24800</v>
      </c>
      <c r="G12" s="17">
        <v>25600</v>
      </c>
      <c r="H12" s="17">
        <v>26800</v>
      </c>
      <c r="I12" s="17">
        <v>31400</v>
      </c>
      <c r="J12" s="17">
        <v>34300</v>
      </c>
      <c r="K12" s="17">
        <v>40300</v>
      </c>
      <c r="L12" s="17">
        <v>45100</v>
      </c>
      <c r="M12" s="17">
        <v>52900</v>
      </c>
      <c r="N12" s="17">
        <v>63300</v>
      </c>
      <c r="O12" s="17">
        <v>67000</v>
      </c>
      <c r="P12" s="17">
        <v>72400</v>
      </c>
      <c r="Q12" s="17">
        <v>80300</v>
      </c>
      <c r="R12" s="17">
        <v>84800</v>
      </c>
      <c r="S12" s="17">
        <v>89900</v>
      </c>
      <c r="T12" s="17">
        <v>95400</v>
      </c>
      <c r="U12" s="17">
        <v>106100</v>
      </c>
      <c r="V12" s="17">
        <v>147000</v>
      </c>
      <c r="W12" s="17">
        <v>154900</v>
      </c>
      <c r="X12" s="17">
        <v>174100</v>
      </c>
      <c r="Y12" s="17">
        <v>177700</v>
      </c>
    </row>
    <row r="13" spans="1:25" ht="16.8" x14ac:dyDescent="0.3">
      <c r="A13" s="16">
        <v>8</v>
      </c>
      <c r="B13" s="17">
        <v>21700</v>
      </c>
      <c r="C13" s="17">
        <v>22000</v>
      </c>
      <c r="D13" s="17">
        <v>22400</v>
      </c>
      <c r="E13" s="17">
        <v>23600</v>
      </c>
      <c r="F13" s="17">
        <v>25500</v>
      </c>
      <c r="G13" s="17">
        <v>26400</v>
      </c>
      <c r="H13" s="17">
        <v>27600</v>
      </c>
      <c r="I13" s="17">
        <v>32300</v>
      </c>
      <c r="J13" s="17">
        <v>35300</v>
      </c>
      <c r="K13" s="17">
        <v>41500</v>
      </c>
      <c r="L13" s="17">
        <v>46500</v>
      </c>
      <c r="M13" s="17">
        <v>54500</v>
      </c>
      <c r="N13" s="17">
        <v>65200</v>
      </c>
      <c r="O13" s="17">
        <v>69000</v>
      </c>
      <c r="P13" s="17">
        <v>74600</v>
      </c>
      <c r="Q13" s="17">
        <v>82700</v>
      </c>
      <c r="R13" s="17">
        <v>87300</v>
      </c>
      <c r="S13" s="17">
        <v>92600</v>
      </c>
      <c r="T13" s="17">
        <v>98300</v>
      </c>
      <c r="U13" s="17">
        <v>109300</v>
      </c>
      <c r="V13" s="17">
        <v>151400</v>
      </c>
      <c r="W13" s="17">
        <v>159500</v>
      </c>
      <c r="X13" s="17">
        <v>179300</v>
      </c>
      <c r="Y13" s="17">
        <v>183000</v>
      </c>
    </row>
    <row r="14" spans="1:25" ht="16.8" x14ac:dyDescent="0.3">
      <c r="A14" s="16">
        <v>9</v>
      </c>
      <c r="B14" s="17">
        <v>22400</v>
      </c>
      <c r="C14" s="17">
        <v>22700</v>
      </c>
      <c r="D14" s="17">
        <v>23100</v>
      </c>
      <c r="E14" s="17">
        <v>24300</v>
      </c>
      <c r="F14" s="17">
        <v>26300</v>
      </c>
      <c r="G14" s="17">
        <v>27200</v>
      </c>
      <c r="H14" s="17">
        <v>28400</v>
      </c>
      <c r="I14" s="17">
        <v>33300</v>
      </c>
      <c r="J14" s="17">
        <v>36400</v>
      </c>
      <c r="K14" s="17">
        <v>42700</v>
      </c>
      <c r="L14" s="17">
        <v>47900</v>
      </c>
      <c r="M14" s="17">
        <v>56100</v>
      </c>
      <c r="N14" s="17">
        <v>67200</v>
      </c>
      <c r="O14" s="17">
        <v>71100</v>
      </c>
      <c r="P14" s="17">
        <v>76800</v>
      </c>
      <c r="Q14" s="17">
        <v>85200</v>
      </c>
      <c r="R14" s="17">
        <v>89900</v>
      </c>
      <c r="S14" s="17">
        <v>95400</v>
      </c>
      <c r="T14" s="17">
        <v>101200</v>
      </c>
      <c r="U14" s="17">
        <v>112600</v>
      </c>
      <c r="V14" s="17">
        <v>155900</v>
      </c>
      <c r="W14" s="17">
        <v>164300</v>
      </c>
      <c r="X14" s="17">
        <v>184700</v>
      </c>
      <c r="Y14" s="17">
        <v>188500</v>
      </c>
    </row>
    <row r="15" spans="1:25" ht="16.8" x14ac:dyDescent="0.3">
      <c r="A15" s="16">
        <v>10</v>
      </c>
      <c r="B15" s="17">
        <v>23100</v>
      </c>
      <c r="C15" s="17">
        <v>23400</v>
      </c>
      <c r="D15" s="17">
        <v>23800</v>
      </c>
      <c r="E15" s="17">
        <v>25000</v>
      </c>
      <c r="F15" s="17">
        <v>27100</v>
      </c>
      <c r="G15" s="17">
        <v>28000</v>
      </c>
      <c r="H15" s="17">
        <v>29300</v>
      </c>
      <c r="I15" s="17">
        <v>34300</v>
      </c>
      <c r="J15" s="17">
        <v>37500</v>
      </c>
      <c r="K15" s="17">
        <v>44000</v>
      </c>
      <c r="L15" s="17">
        <v>49300</v>
      </c>
      <c r="M15" s="17">
        <v>57800</v>
      </c>
      <c r="N15" s="17">
        <v>69200</v>
      </c>
      <c r="O15" s="17">
        <v>73200</v>
      </c>
      <c r="P15" s="17">
        <v>79100</v>
      </c>
      <c r="Q15" s="17">
        <v>87800</v>
      </c>
      <c r="R15" s="17">
        <v>92600</v>
      </c>
      <c r="S15" s="17">
        <v>98300</v>
      </c>
      <c r="T15" s="17">
        <v>104200</v>
      </c>
      <c r="U15" s="17">
        <v>116000</v>
      </c>
      <c r="V15" s="17">
        <v>160600</v>
      </c>
      <c r="W15" s="17">
        <v>169200</v>
      </c>
      <c r="X15" s="17">
        <v>190200</v>
      </c>
      <c r="Y15" s="17">
        <v>194200</v>
      </c>
    </row>
    <row r="16" spans="1:25" ht="16.8" x14ac:dyDescent="0.3">
      <c r="A16" s="16">
        <v>11</v>
      </c>
      <c r="B16" s="17">
        <v>23800</v>
      </c>
      <c r="C16" s="17">
        <v>24100</v>
      </c>
      <c r="D16" s="17">
        <v>24500</v>
      </c>
      <c r="E16" s="17">
        <v>25800</v>
      </c>
      <c r="F16" s="17">
        <v>27900</v>
      </c>
      <c r="G16" s="17">
        <v>28800</v>
      </c>
      <c r="H16" s="17">
        <v>30200</v>
      </c>
      <c r="I16" s="17">
        <v>35300</v>
      </c>
      <c r="J16" s="17">
        <v>38600</v>
      </c>
      <c r="K16" s="17">
        <v>45300</v>
      </c>
      <c r="L16" s="17">
        <v>50800</v>
      </c>
      <c r="M16" s="17">
        <v>59500</v>
      </c>
      <c r="N16" s="17">
        <v>71300</v>
      </c>
      <c r="O16" s="17">
        <v>75400</v>
      </c>
      <c r="P16" s="17">
        <v>81500</v>
      </c>
      <c r="Q16" s="17">
        <v>90400</v>
      </c>
      <c r="R16" s="17">
        <v>95400</v>
      </c>
      <c r="S16" s="17">
        <v>101200</v>
      </c>
      <c r="T16" s="17">
        <v>107300</v>
      </c>
      <c r="U16" s="17">
        <v>119500</v>
      </c>
      <c r="V16" s="17">
        <v>165400</v>
      </c>
      <c r="W16" s="17">
        <v>174300</v>
      </c>
      <c r="X16" s="17">
        <v>195900</v>
      </c>
      <c r="Y16" s="17">
        <v>200000</v>
      </c>
    </row>
    <row r="17" spans="1:25" ht="16.8" x14ac:dyDescent="0.3">
      <c r="A17" s="16">
        <v>12</v>
      </c>
      <c r="B17" s="17">
        <v>24500</v>
      </c>
      <c r="C17" s="17">
        <v>24800</v>
      </c>
      <c r="D17" s="17">
        <v>25200</v>
      </c>
      <c r="E17" s="17">
        <v>26600</v>
      </c>
      <c r="F17" s="17">
        <v>28700</v>
      </c>
      <c r="G17" s="17">
        <v>29700</v>
      </c>
      <c r="H17" s="17">
        <v>31100</v>
      </c>
      <c r="I17" s="17">
        <v>36400</v>
      </c>
      <c r="J17" s="17">
        <v>39800</v>
      </c>
      <c r="K17" s="17">
        <v>46700</v>
      </c>
      <c r="L17" s="17">
        <v>52300</v>
      </c>
      <c r="M17" s="17">
        <v>61300</v>
      </c>
      <c r="N17" s="17">
        <v>73400</v>
      </c>
      <c r="O17" s="17">
        <v>77700</v>
      </c>
      <c r="P17" s="17">
        <v>83900</v>
      </c>
      <c r="Q17" s="17">
        <v>93100</v>
      </c>
      <c r="R17" s="17">
        <v>98300</v>
      </c>
      <c r="S17" s="17">
        <v>104200</v>
      </c>
      <c r="T17" s="17">
        <v>110500</v>
      </c>
      <c r="U17" s="17">
        <v>123100</v>
      </c>
      <c r="V17" s="17">
        <v>170400</v>
      </c>
      <c r="W17" s="17">
        <v>179500</v>
      </c>
      <c r="X17" s="17">
        <v>201800</v>
      </c>
      <c r="Y17" s="17">
        <v>206000</v>
      </c>
    </row>
    <row r="18" spans="1:25" ht="16.8" x14ac:dyDescent="0.3">
      <c r="A18" s="16">
        <v>13</v>
      </c>
      <c r="B18" s="17">
        <v>25200</v>
      </c>
      <c r="C18" s="17">
        <v>25500</v>
      </c>
      <c r="D18" s="17">
        <v>26000</v>
      </c>
      <c r="E18" s="17">
        <v>27400</v>
      </c>
      <c r="F18" s="17">
        <v>29600</v>
      </c>
      <c r="G18" s="17">
        <v>30600</v>
      </c>
      <c r="H18" s="17">
        <v>32000</v>
      </c>
      <c r="I18" s="17">
        <v>37500</v>
      </c>
      <c r="J18" s="17">
        <v>41000</v>
      </c>
      <c r="K18" s="17">
        <v>48100</v>
      </c>
      <c r="L18" s="17">
        <v>53900</v>
      </c>
      <c r="M18" s="17">
        <v>63100</v>
      </c>
      <c r="N18" s="17">
        <v>75600</v>
      </c>
      <c r="O18" s="17">
        <v>80000</v>
      </c>
      <c r="P18" s="17">
        <v>86400</v>
      </c>
      <c r="Q18" s="17">
        <v>95900</v>
      </c>
      <c r="R18" s="17">
        <v>101200</v>
      </c>
      <c r="S18" s="17">
        <v>107300</v>
      </c>
      <c r="T18" s="17">
        <v>113800</v>
      </c>
      <c r="U18" s="17">
        <v>126800</v>
      </c>
      <c r="V18" s="17">
        <v>175500</v>
      </c>
      <c r="W18" s="17">
        <v>184900</v>
      </c>
      <c r="X18" s="17">
        <v>207900</v>
      </c>
      <c r="Y18" s="17">
        <v>212200</v>
      </c>
    </row>
    <row r="19" spans="1:25" ht="16.8" x14ac:dyDescent="0.3">
      <c r="A19" s="16">
        <v>14</v>
      </c>
      <c r="B19" s="17">
        <v>26000</v>
      </c>
      <c r="C19" s="17">
        <v>26300</v>
      </c>
      <c r="D19" s="17">
        <v>26800</v>
      </c>
      <c r="E19" s="17">
        <v>28200</v>
      </c>
      <c r="F19" s="17">
        <v>30500</v>
      </c>
      <c r="G19" s="17">
        <v>31500</v>
      </c>
      <c r="H19" s="17">
        <v>33000</v>
      </c>
      <c r="I19" s="17">
        <v>38600</v>
      </c>
      <c r="J19" s="17">
        <v>42200</v>
      </c>
      <c r="K19" s="17">
        <v>49500</v>
      </c>
      <c r="L19" s="17">
        <v>55500</v>
      </c>
      <c r="M19" s="17">
        <v>65000</v>
      </c>
      <c r="N19" s="17">
        <v>77900</v>
      </c>
      <c r="O19" s="17">
        <v>82400</v>
      </c>
      <c r="P19" s="17">
        <v>89000</v>
      </c>
      <c r="Q19" s="17">
        <v>98800</v>
      </c>
      <c r="R19" s="17">
        <v>104200</v>
      </c>
      <c r="S19" s="17">
        <v>110500</v>
      </c>
      <c r="T19" s="17">
        <v>117200</v>
      </c>
      <c r="U19" s="17">
        <v>130600</v>
      </c>
      <c r="V19" s="17">
        <v>180800</v>
      </c>
      <c r="W19" s="17">
        <v>190400</v>
      </c>
      <c r="X19" s="17">
        <v>214100</v>
      </c>
      <c r="Y19" s="17">
        <v>218600</v>
      </c>
    </row>
    <row r="20" spans="1:25" ht="16.8" x14ac:dyDescent="0.3">
      <c r="A20" s="16">
        <v>15</v>
      </c>
      <c r="B20" s="17">
        <v>26800</v>
      </c>
      <c r="C20" s="17">
        <v>27100</v>
      </c>
      <c r="D20" s="17">
        <v>27600</v>
      </c>
      <c r="E20" s="17">
        <v>29000</v>
      </c>
      <c r="F20" s="17">
        <v>31400</v>
      </c>
      <c r="G20" s="17">
        <v>32400</v>
      </c>
      <c r="H20" s="17">
        <v>34000</v>
      </c>
      <c r="I20" s="17">
        <v>39800</v>
      </c>
      <c r="J20" s="17">
        <v>43500</v>
      </c>
      <c r="K20" s="17">
        <v>51000</v>
      </c>
      <c r="L20" s="17">
        <v>57200</v>
      </c>
      <c r="M20" s="17">
        <v>67000</v>
      </c>
      <c r="N20" s="17">
        <v>80200</v>
      </c>
      <c r="O20" s="17">
        <v>84900</v>
      </c>
      <c r="P20" s="17">
        <v>91700</v>
      </c>
      <c r="Q20" s="17">
        <v>101800</v>
      </c>
      <c r="R20" s="17">
        <v>107300</v>
      </c>
      <c r="S20" s="17">
        <v>113800</v>
      </c>
      <c r="T20" s="17">
        <v>120700</v>
      </c>
      <c r="U20" s="17">
        <v>134500</v>
      </c>
      <c r="V20" s="17">
        <v>186200</v>
      </c>
      <c r="W20" s="17">
        <v>196100</v>
      </c>
      <c r="X20" s="19"/>
      <c r="Y20" s="19"/>
    </row>
    <row r="21" spans="1:25" ht="16.8" x14ac:dyDescent="0.3">
      <c r="A21" s="16">
        <v>16</v>
      </c>
      <c r="B21" s="17">
        <v>27600</v>
      </c>
      <c r="C21" s="17">
        <v>27900</v>
      </c>
      <c r="D21" s="17">
        <v>28400</v>
      </c>
      <c r="E21" s="17">
        <v>29900</v>
      </c>
      <c r="F21" s="17">
        <v>32300</v>
      </c>
      <c r="G21" s="17">
        <v>33400</v>
      </c>
      <c r="H21" s="17">
        <v>35000</v>
      </c>
      <c r="I21" s="17">
        <v>41000</v>
      </c>
      <c r="J21" s="17">
        <v>44800</v>
      </c>
      <c r="K21" s="17">
        <v>52500</v>
      </c>
      <c r="L21" s="17">
        <v>58900</v>
      </c>
      <c r="M21" s="17">
        <v>69000</v>
      </c>
      <c r="N21" s="17">
        <v>82600</v>
      </c>
      <c r="O21" s="17">
        <v>87400</v>
      </c>
      <c r="P21" s="17">
        <v>94500</v>
      </c>
      <c r="Q21" s="17">
        <v>104900</v>
      </c>
      <c r="R21" s="17">
        <v>110500</v>
      </c>
      <c r="S21" s="17">
        <v>117200</v>
      </c>
      <c r="T21" s="17">
        <v>124300</v>
      </c>
      <c r="U21" s="17">
        <v>138500</v>
      </c>
      <c r="V21" s="17">
        <v>191800</v>
      </c>
      <c r="W21" s="17">
        <v>202000</v>
      </c>
      <c r="X21" s="19"/>
      <c r="Y21" s="19"/>
    </row>
    <row r="22" spans="1:25" ht="16.8" x14ac:dyDescent="0.3">
      <c r="A22" s="16">
        <v>17</v>
      </c>
      <c r="B22" s="17">
        <v>28400</v>
      </c>
      <c r="C22" s="17">
        <v>28700</v>
      </c>
      <c r="D22" s="17">
        <v>29300</v>
      </c>
      <c r="E22" s="17">
        <v>30800</v>
      </c>
      <c r="F22" s="17">
        <v>33300</v>
      </c>
      <c r="G22" s="17">
        <v>34400</v>
      </c>
      <c r="H22" s="17">
        <v>36100</v>
      </c>
      <c r="I22" s="17">
        <v>42200</v>
      </c>
      <c r="J22" s="17">
        <v>46100</v>
      </c>
      <c r="K22" s="17">
        <v>54100</v>
      </c>
      <c r="L22" s="17">
        <v>60700</v>
      </c>
      <c r="M22" s="17">
        <v>71100</v>
      </c>
      <c r="N22" s="17">
        <v>85100</v>
      </c>
      <c r="O22" s="17">
        <v>90000</v>
      </c>
      <c r="P22" s="17">
        <v>97300</v>
      </c>
      <c r="Q22" s="17">
        <v>108000</v>
      </c>
      <c r="R22" s="17">
        <v>113800</v>
      </c>
      <c r="S22" s="17">
        <v>120700</v>
      </c>
      <c r="T22" s="17">
        <v>128000</v>
      </c>
      <c r="U22" s="17">
        <v>142700</v>
      </c>
      <c r="V22" s="17">
        <v>197600</v>
      </c>
      <c r="W22" s="17">
        <v>208100</v>
      </c>
      <c r="X22" s="19"/>
      <c r="Y22" s="19"/>
    </row>
    <row r="23" spans="1:25" ht="16.8" x14ac:dyDescent="0.3">
      <c r="A23" s="16">
        <v>18</v>
      </c>
      <c r="B23" s="17">
        <v>29300</v>
      </c>
      <c r="C23" s="17">
        <v>29600</v>
      </c>
      <c r="D23" s="17">
        <v>30200</v>
      </c>
      <c r="E23" s="17">
        <v>31700</v>
      </c>
      <c r="F23" s="17">
        <v>34300</v>
      </c>
      <c r="G23" s="17">
        <v>35400</v>
      </c>
      <c r="H23" s="17">
        <v>37200</v>
      </c>
      <c r="I23" s="17">
        <v>43500</v>
      </c>
      <c r="J23" s="17">
        <v>47500</v>
      </c>
      <c r="K23" s="17">
        <v>55700</v>
      </c>
      <c r="L23" s="17">
        <v>62500</v>
      </c>
      <c r="M23" s="17">
        <v>73200</v>
      </c>
      <c r="N23" s="17">
        <v>87700</v>
      </c>
      <c r="O23" s="17">
        <v>92700</v>
      </c>
      <c r="P23" s="17">
        <v>100200</v>
      </c>
      <c r="Q23" s="17">
        <v>111200</v>
      </c>
      <c r="R23" s="17">
        <v>117200</v>
      </c>
      <c r="S23" s="17">
        <v>124300</v>
      </c>
      <c r="T23" s="17">
        <v>131800</v>
      </c>
      <c r="U23" s="17">
        <v>147000</v>
      </c>
      <c r="V23" s="17">
        <v>203500</v>
      </c>
      <c r="W23" s="19"/>
      <c r="X23" s="19"/>
      <c r="Y23" s="19"/>
    </row>
    <row r="24" spans="1:25" ht="16.8" x14ac:dyDescent="0.3">
      <c r="A24" s="16">
        <v>19</v>
      </c>
      <c r="B24" s="17">
        <v>30200</v>
      </c>
      <c r="C24" s="17">
        <v>30500</v>
      </c>
      <c r="D24" s="17">
        <v>31100</v>
      </c>
      <c r="E24" s="17">
        <v>32700</v>
      </c>
      <c r="F24" s="17">
        <v>35300</v>
      </c>
      <c r="G24" s="17">
        <v>36500</v>
      </c>
      <c r="H24" s="17">
        <v>38300</v>
      </c>
      <c r="I24" s="17">
        <v>44800</v>
      </c>
      <c r="J24" s="17">
        <v>48900</v>
      </c>
      <c r="K24" s="17">
        <v>57400</v>
      </c>
      <c r="L24" s="17">
        <v>64400</v>
      </c>
      <c r="M24" s="17">
        <v>75400</v>
      </c>
      <c r="N24" s="17">
        <v>90300</v>
      </c>
      <c r="O24" s="17">
        <v>95500</v>
      </c>
      <c r="P24" s="17">
        <v>103200</v>
      </c>
      <c r="Q24" s="17">
        <v>114500</v>
      </c>
      <c r="R24" s="17">
        <v>120700</v>
      </c>
      <c r="S24" s="17">
        <v>128000</v>
      </c>
      <c r="T24" s="17">
        <v>135800</v>
      </c>
      <c r="U24" s="17">
        <v>151400</v>
      </c>
      <c r="V24" s="19"/>
      <c r="W24" s="19"/>
      <c r="X24" s="19"/>
      <c r="Y24" s="19"/>
    </row>
    <row r="25" spans="1:25" ht="16.8" x14ac:dyDescent="0.3">
      <c r="A25" s="16">
        <v>20</v>
      </c>
      <c r="B25" s="17">
        <v>31100</v>
      </c>
      <c r="C25" s="17">
        <v>31400</v>
      </c>
      <c r="D25" s="17">
        <v>32000</v>
      </c>
      <c r="E25" s="17">
        <v>33700</v>
      </c>
      <c r="F25" s="17">
        <v>36400</v>
      </c>
      <c r="G25" s="17">
        <v>37600</v>
      </c>
      <c r="H25" s="17">
        <v>39400</v>
      </c>
      <c r="I25" s="17">
        <v>46100</v>
      </c>
      <c r="J25" s="17">
        <v>50400</v>
      </c>
      <c r="K25" s="17">
        <v>59100</v>
      </c>
      <c r="L25" s="17">
        <v>66300</v>
      </c>
      <c r="M25" s="17">
        <v>77700</v>
      </c>
      <c r="N25" s="17">
        <v>93000</v>
      </c>
      <c r="O25" s="17">
        <v>98400</v>
      </c>
      <c r="P25" s="17">
        <v>106300</v>
      </c>
      <c r="Q25" s="17">
        <v>117900</v>
      </c>
      <c r="R25" s="17">
        <v>124300</v>
      </c>
      <c r="S25" s="17">
        <v>131800</v>
      </c>
      <c r="T25" s="17">
        <v>139900</v>
      </c>
      <c r="U25" s="17">
        <v>155900</v>
      </c>
      <c r="V25" s="19"/>
      <c r="W25" s="19"/>
      <c r="X25" s="19"/>
      <c r="Y25" s="19"/>
    </row>
    <row r="26" spans="1:25" ht="16.8" x14ac:dyDescent="0.3">
      <c r="A26" s="16">
        <v>21</v>
      </c>
      <c r="B26" s="17">
        <v>32000</v>
      </c>
      <c r="C26" s="17">
        <v>32300</v>
      </c>
      <c r="D26" s="17">
        <v>33000</v>
      </c>
      <c r="E26" s="17">
        <v>34700</v>
      </c>
      <c r="F26" s="17">
        <v>37500</v>
      </c>
      <c r="G26" s="17">
        <v>38700</v>
      </c>
      <c r="H26" s="17">
        <v>40600</v>
      </c>
      <c r="I26" s="17">
        <v>47500</v>
      </c>
      <c r="J26" s="17">
        <v>51900</v>
      </c>
      <c r="K26" s="17">
        <v>60900</v>
      </c>
      <c r="L26" s="17">
        <v>68300</v>
      </c>
      <c r="M26" s="17">
        <v>80000</v>
      </c>
      <c r="N26" s="17">
        <v>95800</v>
      </c>
      <c r="O26" s="17">
        <v>101400</v>
      </c>
      <c r="P26" s="17">
        <v>109500</v>
      </c>
      <c r="Q26" s="17">
        <v>121400</v>
      </c>
      <c r="R26" s="17">
        <v>128000</v>
      </c>
      <c r="S26" s="17">
        <v>135800</v>
      </c>
      <c r="T26" s="17">
        <v>144100</v>
      </c>
      <c r="U26" s="17">
        <v>160600</v>
      </c>
      <c r="V26" s="19"/>
      <c r="W26" s="19"/>
      <c r="X26" s="19"/>
      <c r="Y26" s="19"/>
    </row>
    <row r="27" spans="1:25" ht="16.8" x14ac:dyDescent="0.3">
      <c r="A27" s="16">
        <v>22</v>
      </c>
      <c r="B27" s="17">
        <v>33000</v>
      </c>
      <c r="C27" s="17">
        <v>33300</v>
      </c>
      <c r="D27" s="17">
        <v>34000</v>
      </c>
      <c r="E27" s="17">
        <v>35700</v>
      </c>
      <c r="F27" s="17">
        <v>38600</v>
      </c>
      <c r="G27" s="17">
        <v>39900</v>
      </c>
      <c r="H27" s="17">
        <v>41800</v>
      </c>
      <c r="I27" s="17">
        <v>48900</v>
      </c>
      <c r="J27" s="17">
        <v>53500</v>
      </c>
      <c r="K27" s="17">
        <v>62700</v>
      </c>
      <c r="L27" s="17">
        <v>70300</v>
      </c>
      <c r="M27" s="17">
        <v>82400</v>
      </c>
      <c r="N27" s="17">
        <v>98700</v>
      </c>
      <c r="O27" s="17">
        <v>104400</v>
      </c>
      <c r="P27" s="17">
        <v>112800</v>
      </c>
      <c r="Q27" s="17">
        <v>125000</v>
      </c>
      <c r="R27" s="17">
        <v>131800</v>
      </c>
      <c r="S27" s="17">
        <v>139900</v>
      </c>
      <c r="T27" s="17">
        <v>148400</v>
      </c>
      <c r="U27" s="17">
        <v>165400</v>
      </c>
      <c r="V27" s="19"/>
      <c r="W27" s="19"/>
      <c r="X27" s="19"/>
      <c r="Y27" s="19"/>
    </row>
    <row r="28" spans="1:25" ht="16.8" x14ac:dyDescent="0.3">
      <c r="A28" s="16">
        <v>23</v>
      </c>
      <c r="B28" s="17">
        <v>34000</v>
      </c>
      <c r="C28" s="17">
        <v>34300</v>
      </c>
      <c r="D28" s="17">
        <v>35000</v>
      </c>
      <c r="E28" s="17">
        <v>36800</v>
      </c>
      <c r="F28" s="17">
        <v>39800</v>
      </c>
      <c r="G28" s="17">
        <v>41100</v>
      </c>
      <c r="H28" s="17">
        <v>43100</v>
      </c>
      <c r="I28" s="17">
        <v>50400</v>
      </c>
      <c r="J28" s="17">
        <v>55100</v>
      </c>
      <c r="K28" s="17">
        <v>64600</v>
      </c>
      <c r="L28" s="17">
        <v>72400</v>
      </c>
      <c r="M28" s="17">
        <v>84900</v>
      </c>
      <c r="N28" s="17">
        <v>101700</v>
      </c>
      <c r="O28" s="17">
        <v>107500</v>
      </c>
      <c r="P28" s="17">
        <v>116200</v>
      </c>
      <c r="Q28" s="17">
        <v>128800</v>
      </c>
      <c r="R28" s="17">
        <v>135800</v>
      </c>
      <c r="S28" s="17">
        <v>144100</v>
      </c>
      <c r="T28" s="17">
        <v>152900</v>
      </c>
      <c r="U28" s="17">
        <v>170400</v>
      </c>
      <c r="V28" s="19"/>
      <c r="W28" s="19"/>
      <c r="X28" s="19"/>
      <c r="Y28" s="19"/>
    </row>
    <row r="29" spans="1:25" ht="16.8" x14ac:dyDescent="0.3">
      <c r="A29" s="16">
        <v>24</v>
      </c>
      <c r="B29" s="17">
        <v>35000</v>
      </c>
      <c r="C29" s="17">
        <v>35300</v>
      </c>
      <c r="D29" s="17">
        <v>36100</v>
      </c>
      <c r="E29" s="17">
        <v>37900</v>
      </c>
      <c r="F29" s="17">
        <v>41000</v>
      </c>
      <c r="G29" s="17">
        <v>42300</v>
      </c>
      <c r="H29" s="17">
        <v>44400</v>
      </c>
      <c r="I29" s="17">
        <v>51900</v>
      </c>
      <c r="J29" s="17">
        <v>56800</v>
      </c>
      <c r="K29" s="17">
        <v>66500</v>
      </c>
      <c r="L29" s="17">
        <v>74600</v>
      </c>
      <c r="M29" s="17">
        <v>87400</v>
      </c>
      <c r="N29" s="17">
        <v>104800</v>
      </c>
      <c r="O29" s="17">
        <v>110700</v>
      </c>
      <c r="P29" s="17">
        <v>119700</v>
      </c>
      <c r="Q29" s="17">
        <v>132700</v>
      </c>
      <c r="R29" s="17">
        <v>139900</v>
      </c>
      <c r="S29" s="17">
        <v>148400</v>
      </c>
      <c r="T29" s="17">
        <v>157500</v>
      </c>
      <c r="U29" s="17">
        <v>175500</v>
      </c>
      <c r="V29" s="19"/>
      <c r="W29" s="19"/>
      <c r="X29" s="19"/>
      <c r="Y29" s="19"/>
    </row>
    <row r="30" spans="1:25" ht="16.8" x14ac:dyDescent="0.3">
      <c r="A30" s="16">
        <v>25</v>
      </c>
      <c r="B30" s="17">
        <v>36100</v>
      </c>
      <c r="C30" s="17">
        <v>36400</v>
      </c>
      <c r="D30" s="17">
        <v>37200</v>
      </c>
      <c r="E30" s="17">
        <v>39000</v>
      </c>
      <c r="F30" s="17">
        <v>42200</v>
      </c>
      <c r="G30" s="17">
        <v>43600</v>
      </c>
      <c r="H30" s="17">
        <v>45700</v>
      </c>
      <c r="I30" s="17">
        <v>53500</v>
      </c>
      <c r="J30" s="17">
        <v>58500</v>
      </c>
      <c r="K30" s="17">
        <v>68500</v>
      </c>
      <c r="L30" s="17">
        <v>76800</v>
      </c>
      <c r="M30" s="17">
        <v>90000</v>
      </c>
      <c r="N30" s="17">
        <v>107900</v>
      </c>
      <c r="O30" s="17">
        <v>114000</v>
      </c>
      <c r="P30" s="17">
        <v>123300</v>
      </c>
      <c r="Q30" s="17">
        <v>136700</v>
      </c>
      <c r="R30" s="17">
        <v>144100</v>
      </c>
      <c r="S30" s="17">
        <v>152900</v>
      </c>
      <c r="T30" s="17">
        <v>162200</v>
      </c>
      <c r="U30" s="17">
        <v>180800</v>
      </c>
      <c r="V30" s="19"/>
      <c r="W30" s="19"/>
      <c r="X30" s="19"/>
      <c r="Y30" s="19"/>
    </row>
    <row r="31" spans="1:25" ht="16.8" x14ac:dyDescent="0.3">
      <c r="A31" s="16">
        <v>26</v>
      </c>
      <c r="B31" s="17">
        <v>37200</v>
      </c>
      <c r="C31" s="17">
        <v>37500</v>
      </c>
      <c r="D31" s="17">
        <v>38300</v>
      </c>
      <c r="E31" s="17">
        <v>40200</v>
      </c>
      <c r="F31" s="17">
        <v>43500</v>
      </c>
      <c r="G31" s="17">
        <v>44900</v>
      </c>
      <c r="H31" s="17">
        <v>47100</v>
      </c>
      <c r="I31" s="17">
        <v>55100</v>
      </c>
      <c r="J31" s="17">
        <v>60300</v>
      </c>
      <c r="K31" s="17">
        <v>70600</v>
      </c>
      <c r="L31" s="17">
        <v>79100</v>
      </c>
      <c r="M31" s="17">
        <v>92700</v>
      </c>
      <c r="N31" s="17">
        <v>111100</v>
      </c>
      <c r="O31" s="17">
        <v>117400</v>
      </c>
      <c r="P31" s="17">
        <v>127000</v>
      </c>
      <c r="Q31" s="17">
        <v>140800</v>
      </c>
      <c r="R31" s="17">
        <v>148400</v>
      </c>
      <c r="S31" s="17">
        <v>157500</v>
      </c>
      <c r="T31" s="17">
        <v>167100</v>
      </c>
      <c r="U31" s="17">
        <v>186200</v>
      </c>
      <c r="V31" s="19"/>
      <c r="W31" s="19"/>
      <c r="X31" s="19"/>
      <c r="Y31" s="19"/>
    </row>
    <row r="32" spans="1:25" ht="16.8" x14ac:dyDescent="0.3">
      <c r="A32" s="16">
        <v>27</v>
      </c>
      <c r="B32" s="17">
        <v>38300</v>
      </c>
      <c r="C32" s="17">
        <v>38600</v>
      </c>
      <c r="D32" s="17">
        <v>39400</v>
      </c>
      <c r="E32" s="17">
        <v>41400</v>
      </c>
      <c r="F32" s="17">
        <v>44800</v>
      </c>
      <c r="G32" s="17">
        <v>46200</v>
      </c>
      <c r="H32" s="17">
        <v>48500</v>
      </c>
      <c r="I32" s="17">
        <v>56800</v>
      </c>
      <c r="J32" s="17">
        <v>62100</v>
      </c>
      <c r="K32" s="17">
        <v>72700</v>
      </c>
      <c r="L32" s="17">
        <v>81500</v>
      </c>
      <c r="M32" s="17">
        <v>95500</v>
      </c>
      <c r="N32" s="17">
        <v>114400</v>
      </c>
      <c r="O32" s="17">
        <v>120900</v>
      </c>
      <c r="P32" s="17">
        <v>130800</v>
      </c>
      <c r="Q32" s="17">
        <v>145000</v>
      </c>
      <c r="R32" s="17">
        <v>152900</v>
      </c>
      <c r="S32" s="17">
        <v>162200</v>
      </c>
      <c r="T32" s="17">
        <v>172100</v>
      </c>
      <c r="U32" s="17">
        <v>191800</v>
      </c>
      <c r="V32" s="19"/>
      <c r="W32" s="19"/>
      <c r="X32" s="19"/>
      <c r="Y32" s="19"/>
    </row>
    <row r="33" spans="1:25" ht="16.8" x14ac:dyDescent="0.3">
      <c r="A33" s="16">
        <v>28</v>
      </c>
      <c r="B33" s="17">
        <v>39400</v>
      </c>
      <c r="C33" s="17">
        <v>39800</v>
      </c>
      <c r="D33" s="17">
        <v>40600</v>
      </c>
      <c r="E33" s="17">
        <v>42600</v>
      </c>
      <c r="F33" s="17">
        <v>46100</v>
      </c>
      <c r="G33" s="17">
        <v>47600</v>
      </c>
      <c r="H33" s="17">
        <v>50000</v>
      </c>
      <c r="I33" s="17">
        <v>58500</v>
      </c>
      <c r="J33" s="17">
        <v>64000</v>
      </c>
      <c r="K33" s="17">
        <v>74900</v>
      </c>
      <c r="L33" s="17">
        <v>83900</v>
      </c>
      <c r="M33" s="17">
        <v>98400</v>
      </c>
      <c r="N33" s="17">
        <v>117800</v>
      </c>
      <c r="O33" s="17">
        <v>124500</v>
      </c>
      <c r="P33" s="17">
        <v>134700</v>
      </c>
      <c r="Q33" s="17">
        <v>149400</v>
      </c>
      <c r="R33" s="17">
        <v>157500</v>
      </c>
      <c r="S33" s="17">
        <v>167100</v>
      </c>
      <c r="T33" s="17">
        <v>177300</v>
      </c>
      <c r="U33" s="17">
        <v>197600</v>
      </c>
      <c r="V33" s="19"/>
      <c r="W33" s="19"/>
      <c r="X33" s="19"/>
      <c r="Y33" s="19"/>
    </row>
    <row r="34" spans="1:25" ht="16.8" x14ac:dyDescent="0.3">
      <c r="A34" s="16">
        <v>29</v>
      </c>
      <c r="B34" s="17">
        <v>40600</v>
      </c>
      <c r="C34" s="17">
        <v>41000</v>
      </c>
      <c r="D34" s="17">
        <v>41800</v>
      </c>
      <c r="E34" s="17">
        <v>43900</v>
      </c>
      <c r="F34" s="17">
        <v>47500</v>
      </c>
      <c r="G34" s="17">
        <v>49000</v>
      </c>
      <c r="H34" s="17">
        <v>51500</v>
      </c>
      <c r="I34" s="17">
        <v>60300</v>
      </c>
      <c r="J34" s="17">
        <v>65900</v>
      </c>
      <c r="K34" s="17">
        <v>77100</v>
      </c>
      <c r="L34" s="17">
        <v>86400</v>
      </c>
      <c r="M34" s="17">
        <v>101400</v>
      </c>
      <c r="N34" s="17">
        <v>121300</v>
      </c>
      <c r="O34" s="17">
        <v>128200</v>
      </c>
      <c r="P34" s="17">
        <v>138700</v>
      </c>
      <c r="Q34" s="17">
        <v>153900</v>
      </c>
      <c r="R34" s="17">
        <v>162200</v>
      </c>
      <c r="S34" s="17">
        <v>172100</v>
      </c>
      <c r="T34" s="17">
        <v>182600</v>
      </c>
      <c r="U34" s="17">
        <v>203500</v>
      </c>
      <c r="V34" s="19"/>
      <c r="W34" s="19"/>
      <c r="X34" s="19"/>
      <c r="Y34" s="19"/>
    </row>
    <row r="35" spans="1:25" ht="16.8" x14ac:dyDescent="0.3">
      <c r="A35" s="16">
        <v>30</v>
      </c>
      <c r="B35" s="17">
        <v>41800</v>
      </c>
      <c r="C35" s="17">
        <v>42200</v>
      </c>
      <c r="D35" s="17">
        <v>43100</v>
      </c>
      <c r="E35" s="17">
        <v>45200</v>
      </c>
      <c r="F35" s="17">
        <v>48900</v>
      </c>
      <c r="G35" s="17">
        <v>50500</v>
      </c>
      <c r="H35" s="17">
        <v>53000</v>
      </c>
      <c r="I35" s="17">
        <v>62100</v>
      </c>
      <c r="J35" s="17">
        <v>67900</v>
      </c>
      <c r="K35" s="17">
        <v>79400</v>
      </c>
      <c r="L35" s="17">
        <v>89000</v>
      </c>
      <c r="M35" s="17">
        <v>104400</v>
      </c>
      <c r="N35" s="17">
        <v>124900</v>
      </c>
      <c r="O35" s="17">
        <v>132000</v>
      </c>
      <c r="P35" s="17">
        <v>142900</v>
      </c>
      <c r="Q35" s="17">
        <v>158500</v>
      </c>
      <c r="R35" s="17">
        <v>167100</v>
      </c>
      <c r="S35" s="17">
        <v>177300</v>
      </c>
      <c r="T35" s="17">
        <v>188100</v>
      </c>
      <c r="U35" s="19"/>
      <c r="V35" s="19"/>
      <c r="W35" s="19"/>
      <c r="X35" s="19"/>
      <c r="Y35" s="19"/>
    </row>
    <row r="36" spans="1:25" ht="16.8" x14ac:dyDescent="0.3">
      <c r="A36" s="16">
        <v>31</v>
      </c>
      <c r="B36" s="17">
        <v>43100</v>
      </c>
      <c r="C36" s="17">
        <v>43500</v>
      </c>
      <c r="D36" s="17">
        <v>44400</v>
      </c>
      <c r="E36" s="17">
        <v>46600</v>
      </c>
      <c r="F36" s="17">
        <v>50400</v>
      </c>
      <c r="G36" s="17">
        <v>52000</v>
      </c>
      <c r="H36" s="17">
        <v>54600</v>
      </c>
      <c r="I36" s="17">
        <v>64000</v>
      </c>
      <c r="J36" s="17">
        <v>69900</v>
      </c>
      <c r="K36" s="17">
        <v>81800</v>
      </c>
      <c r="L36" s="17">
        <v>91700</v>
      </c>
      <c r="M36" s="17">
        <v>107500</v>
      </c>
      <c r="N36" s="17">
        <v>128600</v>
      </c>
      <c r="O36" s="17">
        <v>136000</v>
      </c>
      <c r="P36" s="17">
        <v>147200</v>
      </c>
      <c r="Q36" s="17">
        <v>163300</v>
      </c>
      <c r="R36" s="17">
        <v>172100</v>
      </c>
      <c r="S36" s="17">
        <v>182600</v>
      </c>
      <c r="T36" s="17">
        <v>193700</v>
      </c>
      <c r="U36" s="19"/>
      <c r="V36" s="19"/>
      <c r="W36" s="19"/>
      <c r="X36" s="19"/>
      <c r="Y36" s="19"/>
    </row>
    <row r="37" spans="1:25" ht="16.8" x14ac:dyDescent="0.3">
      <c r="A37" s="16">
        <v>32</v>
      </c>
      <c r="B37" s="17">
        <v>44400</v>
      </c>
      <c r="C37" s="17">
        <v>44800</v>
      </c>
      <c r="D37" s="17">
        <v>45700</v>
      </c>
      <c r="E37" s="17">
        <v>48000</v>
      </c>
      <c r="F37" s="17">
        <v>51900</v>
      </c>
      <c r="G37" s="17">
        <v>53600</v>
      </c>
      <c r="H37" s="17">
        <v>56200</v>
      </c>
      <c r="I37" s="17">
        <v>65900</v>
      </c>
      <c r="J37" s="17">
        <v>72000</v>
      </c>
      <c r="K37" s="17">
        <v>84300</v>
      </c>
      <c r="L37" s="17">
        <v>94500</v>
      </c>
      <c r="M37" s="17">
        <v>110700</v>
      </c>
      <c r="N37" s="17">
        <v>132500</v>
      </c>
      <c r="O37" s="17">
        <v>140100</v>
      </c>
      <c r="P37" s="17">
        <v>151600</v>
      </c>
      <c r="Q37" s="17">
        <v>168200</v>
      </c>
      <c r="R37" s="17">
        <v>177300</v>
      </c>
      <c r="S37" s="17">
        <v>188100</v>
      </c>
      <c r="T37" s="17">
        <v>199500</v>
      </c>
      <c r="U37" s="19"/>
      <c r="V37" s="19"/>
      <c r="W37" s="19"/>
      <c r="X37" s="19"/>
      <c r="Y37" s="19"/>
    </row>
    <row r="38" spans="1:25" ht="16.8" x14ac:dyDescent="0.3">
      <c r="A38" s="16">
        <v>33</v>
      </c>
      <c r="B38" s="17">
        <v>45700</v>
      </c>
      <c r="C38" s="17">
        <v>46100</v>
      </c>
      <c r="D38" s="17">
        <v>47100</v>
      </c>
      <c r="E38" s="17">
        <v>49400</v>
      </c>
      <c r="F38" s="17">
        <v>53500</v>
      </c>
      <c r="G38" s="17">
        <v>55200</v>
      </c>
      <c r="H38" s="17">
        <v>57900</v>
      </c>
      <c r="I38" s="17">
        <v>67900</v>
      </c>
      <c r="J38" s="17">
        <v>74200</v>
      </c>
      <c r="K38" s="17">
        <v>86800</v>
      </c>
      <c r="L38" s="17">
        <v>97300</v>
      </c>
      <c r="M38" s="17">
        <v>114000</v>
      </c>
      <c r="N38" s="17">
        <v>136500</v>
      </c>
      <c r="O38" s="17">
        <v>144300</v>
      </c>
      <c r="P38" s="17">
        <v>156100</v>
      </c>
      <c r="Q38" s="17">
        <v>173200</v>
      </c>
      <c r="R38" s="17">
        <v>182600</v>
      </c>
      <c r="S38" s="17">
        <v>193700</v>
      </c>
      <c r="T38" s="19"/>
      <c r="U38" s="19"/>
      <c r="V38" s="19"/>
      <c r="W38" s="19"/>
      <c r="X38" s="19"/>
      <c r="Y38" s="19"/>
    </row>
    <row r="39" spans="1:25" ht="16.8" x14ac:dyDescent="0.3">
      <c r="A39" s="16">
        <v>34</v>
      </c>
      <c r="B39" s="17">
        <v>47100</v>
      </c>
      <c r="C39" s="17">
        <v>47500</v>
      </c>
      <c r="D39" s="17">
        <v>48500</v>
      </c>
      <c r="E39" s="17">
        <v>50900</v>
      </c>
      <c r="F39" s="17">
        <v>55100</v>
      </c>
      <c r="G39" s="17">
        <v>56900</v>
      </c>
      <c r="H39" s="17">
        <v>59600</v>
      </c>
      <c r="I39" s="17">
        <v>69900</v>
      </c>
      <c r="J39" s="17">
        <v>76400</v>
      </c>
      <c r="K39" s="17">
        <v>89400</v>
      </c>
      <c r="L39" s="17">
        <v>100200</v>
      </c>
      <c r="M39" s="17">
        <v>117400</v>
      </c>
      <c r="N39" s="17">
        <v>140600</v>
      </c>
      <c r="O39" s="17">
        <v>148600</v>
      </c>
      <c r="P39" s="17">
        <v>160800</v>
      </c>
      <c r="Q39" s="17">
        <v>178400</v>
      </c>
      <c r="R39" s="17">
        <v>188100</v>
      </c>
      <c r="S39" s="17">
        <v>199500</v>
      </c>
      <c r="T39" s="19"/>
      <c r="U39" s="19"/>
      <c r="V39" s="19"/>
      <c r="W39" s="19"/>
      <c r="X39" s="19"/>
      <c r="Y39" s="19"/>
    </row>
    <row r="40" spans="1:25" ht="16.8" x14ac:dyDescent="0.3">
      <c r="A40" s="16">
        <v>35</v>
      </c>
      <c r="B40" s="17">
        <v>48500</v>
      </c>
      <c r="C40" s="17">
        <v>48900</v>
      </c>
      <c r="D40" s="17">
        <v>50000</v>
      </c>
      <c r="E40" s="17">
        <v>52400</v>
      </c>
      <c r="F40" s="17">
        <v>56800</v>
      </c>
      <c r="G40" s="17">
        <v>58600</v>
      </c>
      <c r="H40" s="17">
        <v>61400</v>
      </c>
      <c r="I40" s="17">
        <v>72000</v>
      </c>
      <c r="J40" s="17">
        <v>78700</v>
      </c>
      <c r="K40" s="17">
        <v>92100</v>
      </c>
      <c r="L40" s="17">
        <v>103200</v>
      </c>
      <c r="M40" s="17">
        <v>120900</v>
      </c>
      <c r="N40" s="17">
        <v>144800</v>
      </c>
      <c r="O40" s="17">
        <v>153100</v>
      </c>
      <c r="P40" s="17">
        <v>165600</v>
      </c>
      <c r="Q40" s="17">
        <v>183800</v>
      </c>
      <c r="R40" s="17">
        <v>193700</v>
      </c>
      <c r="S40" s="19"/>
      <c r="T40" s="19"/>
      <c r="U40" s="19"/>
      <c r="V40" s="19"/>
      <c r="W40" s="19"/>
      <c r="X40" s="19"/>
      <c r="Y40" s="19"/>
    </row>
    <row r="41" spans="1:25" ht="16.8" x14ac:dyDescent="0.3">
      <c r="A41" s="16">
        <v>36</v>
      </c>
      <c r="B41" s="17">
        <v>50000</v>
      </c>
      <c r="C41" s="17">
        <v>50400</v>
      </c>
      <c r="D41" s="17">
        <v>51500</v>
      </c>
      <c r="E41" s="17">
        <v>54000</v>
      </c>
      <c r="F41" s="17">
        <v>58500</v>
      </c>
      <c r="G41" s="17">
        <v>60400</v>
      </c>
      <c r="H41" s="17">
        <v>63200</v>
      </c>
      <c r="I41" s="17">
        <v>74200</v>
      </c>
      <c r="J41" s="17">
        <v>81100</v>
      </c>
      <c r="K41" s="17">
        <v>94900</v>
      </c>
      <c r="L41" s="17">
        <v>106300</v>
      </c>
      <c r="M41" s="17">
        <v>124500</v>
      </c>
      <c r="N41" s="17">
        <v>149100</v>
      </c>
      <c r="O41" s="17">
        <v>157700</v>
      </c>
      <c r="P41" s="17">
        <v>170600</v>
      </c>
      <c r="Q41" s="17">
        <v>189300</v>
      </c>
      <c r="R41" s="17">
        <v>199500</v>
      </c>
      <c r="S41" s="19"/>
      <c r="T41" s="19"/>
      <c r="U41" s="19"/>
      <c r="V41" s="19"/>
      <c r="W41" s="19"/>
      <c r="X41" s="19"/>
      <c r="Y41" s="19"/>
    </row>
    <row r="42" spans="1:25" ht="16.8" x14ac:dyDescent="0.3">
      <c r="A42" s="16">
        <v>37</v>
      </c>
      <c r="B42" s="17">
        <v>51500</v>
      </c>
      <c r="C42" s="17">
        <v>51900</v>
      </c>
      <c r="D42" s="17">
        <v>53000</v>
      </c>
      <c r="E42" s="17">
        <v>55600</v>
      </c>
      <c r="F42" s="17">
        <v>60300</v>
      </c>
      <c r="G42" s="17">
        <v>62200</v>
      </c>
      <c r="H42" s="17">
        <v>65100</v>
      </c>
      <c r="I42" s="17">
        <v>76400</v>
      </c>
      <c r="J42" s="17">
        <v>83500</v>
      </c>
      <c r="K42" s="17">
        <v>97700</v>
      </c>
      <c r="L42" s="17">
        <v>109500</v>
      </c>
      <c r="M42" s="17">
        <v>128200</v>
      </c>
      <c r="N42" s="17">
        <v>153600</v>
      </c>
      <c r="O42" s="17">
        <v>162400</v>
      </c>
      <c r="P42" s="17">
        <v>175700</v>
      </c>
      <c r="Q42" s="17">
        <v>195000</v>
      </c>
      <c r="R42" s="19"/>
      <c r="S42" s="19"/>
      <c r="T42" s="19"/>
      <c r="U42" s="19"/>
      <c r="V42" s="19"/>
      <c r="W42" s="19"/>
      <c r="X42" s="19"/>
      <c r="Y42" s="19"/>
    </row>
    <row r="43" spans="1:25" ht="16.8" x14ac:dyDescent="0.3">
      <c r="A43" s="16">
        <v>38</v>
      </c>
      <c r="B43" s="17">
        <v>53000</v>
      </c>
      <c r="C43" s="17">
        <v>53500</v>
      </c>
      <c r="D43" s="17">
        <v>54600</v>
      </c>
      <c r="E43" s="17">
        <v>57300</v>
      </c>
      <c r="F43" s="17">
        <v>62100</v>
      </c>
      <c r="G43" s="17">
        <v>64100</v>
      </c>
      <c r="H43" s="17">
        <v>67100</v>
      </c>
      <c r="I43" s="17">
        <v>78700</v>
      </c>
      <c r="J43" s="17">
        <v>86000</v>
      </c>
      <c r="K43" s="17">
        <v>100600</v>
      </c>
      <c r="L43" s="17">
        <v>112800</v>
      </c>
      <c r="M43" s="17">
        <v>132000</v>
      </c>
      <c r="N43" s="17">
        <v>158200</v>
      </c>
      <c r="O43" s="17">
        <v>167300</v>
      </c>
      <c r="P43" s="17">
        <v>181000</v>
      </c>
      <c r="Q43" s="19"/>
      <c r="R43" s="19"/>
      <c r="S43" s="19"/>
      <c r="T43" s="19"/>
      <c r="U43" s="19"/>
      <c r="V43" s="19"/>
      <c r="W43" s="19"/>
      <c r="X43" s="19"/>
      <c r="Y43" s="19"/>
    </row>
    <row r="44" spans="1:25" ht="16.8" x14ac:dyDescent="0.3">
      <c r="A44" s="16">
        <v>39</v>
      </c>
      <c r="B44" s="17">
        <v>54600</v>
      </c>
      <c r="C44" s="17">
        <v>55100</v>
      </c>
      <c r="D44" s="17">
        <v>56200</v>
      </c>
      <c r="E44" s="17">
        <v>59000</v>
      </c>
      <c r="F44" s="17">
        <v>64000</v>
      </c>
      <c r="G44" s="17">
        <v>66000</v>
      </c>
      <c r="H44" s="17">
        <v>69100</v>
      </c>
      <c r="I44" s="17">
        <v>81100</v>
      </c>
      <c r="J44" s="17">
        <v>88600</v>
      </c>
      <c r="K44" s="17">
        <v>103600</v>
      </c>
      <c r="L44" s="17">
        <v>116200</v>
      </c>
      <c r="M44" s="17">
        <v>136000</v>
      </c>
      <c r="N44" s="17">
        <v>162900</v>
      </c>
      <c r="O44" s="17">
        <v>172300</v>
      </c>
      <c r="P44" s="17">
        <v>186400</v>
      </c>
      <c r="Q44" s="19"/>
      <c r="R44" s="19"/>
      <c r="S44" s="19"/>
      <c r="T44" s="19"/>
      <c r="U44" s="19"/>
      <c r="V44" s="19"/>
      <c r="W44" s="19"/>
      <c r="X44" s="19"/>
      <c r="Y44" s="19"/>
    </row>
    <row r="45" spans="1:25" ht="16.8" x14ac:dyDescent="0.3">
      <c r="A45" s="16">
        <v>40</v>
      </c>
      <c r="B45" s="17">
        <v>56200</v>
      </c>
      <c r="C45" s="17">
        <v>56800</v>
      </c>
      <c r="D45" s="17">
        <v>57900</v>
      </c>
      <c r="E45" s="17">
        <v>60800</v>
      </c>
      <c r="F45" s="17">
        <v>65900</v>
      </c>
      <c r="G45" s="17">
        <v>68000</v>
      </c>
      <c r="H45" s="17">
        <v>71200</v>
      </c>
      <c r="I45" s="17">
        <v>83500</v>
      </c>
      <c r="J45" s="17">
        <v>91300</v>
      </c>
      <c r="K45" s="17">
        <v>106700</v>
      </c>
      <c r="L45" s="17">
        <v>119700</v>
      </c>
      <c r="M45" s="17">
        <v>140100</v>
      </c>
      <c r="N45" s="17">
        <v>167800</v>
      </c>
      <c r="O45" s="17">
        <v>177500</v>
      </c>
      <c r="P45" s="17">
        <v>192000</v>
      </c>
      <c r="Q45" s="19"/>
      <c r="R45" s="19"/>
      <c r="S45" s="19"/>
      <c r="T45" s="19"/>
      <c r="U45" s="19"/>
      <c r="V45" s="19"/>
      <c r="W45" s="19"/>
      <c r="X45" s="19"/>
      <c r="Y45" s="19"/>
    </row>
    <row r="58" spans="2:25" hidden="1" x14ac:dyDescent="0.3">
      <c r="B58" s="4" t="s">
        <v>32</v>
      </c>
      <c r="C58" s="4" t="s">
        <v>33</v>
      </c>
      <c r="D58" s="4" t="s">
        <v>34</v>
      </c>
      <c r="E58" s="4" t="s">
        <v>35</v>
      </c>
      <c r="F58" s="4" t="s">
        <v>36</v>
      </c>
      <c r="G58" s="4" t="s">
        <v>37</v>
      </c>
      <c r="H58" s="4" t="s">
        <v>38</v>
      </c>
      <c r="I58" s="4" t="s">
        <v>39</v>
      </c>
      <c r="J58" s="4" t="s">
        <v>40</v>
      </c>
      <c r="K58" s="18" t="s">
        <v>41</v>
      </c>
      <c r="L58" s="18" t="s">
        <v>42</v>
      </c>
      <c r="M58" s="4" t="s">
        <v>43</v>
      </c>
      <c r="N58" s="18" t="s">
        <v>44</v>
      </c>
      <c r="O58" s="4" t="s">
        <v>45</v>
      </c>
      <c r="P58" s="18" t="s">
        <v>46</v>
      </c>
      <c r="Q58" s="18" t="s">
        <v>47</v>
      </c>
      <c r="R58" s="4" t="s">
        <v>48</v>
      </c>
      <c r="S58" s="18" t="s">
        <v>49</v>
      </c>
      <c r="T58" s="4" t="s">
        <v>50</v>
      </c>
      <c r="U58" s="18" t="s">
        <v>51</v>
      </c>
      <c r="V58" s="4" t="s">
        <v>52</v>
      </c>
      <c r="W58" s="18" t="s">
        <v>53</v>
      </c>
      <c r="X58" s="4" t="s">
        <v>54</v>
      </c>
      <c r="Y58" s="4" t="s">
        <v>55</v>
      </c>
    </row>
    <row r="59" spans="2:25" hidden="1" x14ac:dyDescent="0.3">
      <c r="B59" s="17">
        <v>17700</v>
      </c>
      <c r="C59" s="17">
        <v>17900</v>
      </c>
      <c r="D59" s="17">
        <v>18200</v>
      </c>
      <c r="E59" s="17">
        <v>19200</v>
      </c>
      <c r="F59" s="17">
        <v>20800</v>
      </c>
      <c r="G59" s="17">
        <v>21500</v>
      </c>
      <c r="H59" s="17">
        <v>22400</v>
      </c>
      <c r="I59" s="17">
        <v>26300</v>
      </c>
      <c r="J59" s="17">
        <v>28700</v>
      </c>
      <c r="K59" s="17">
        <v>33800</v>
      </c>
      <c r="L59" s="17">
        <v>37800</v>
      </c>
      <c r="M59" s="17">
        <v>44300</v>
      </c>
      <c r="N59" s="17">
        <v>53100</v>
      </c>
      <c r="O59" s="17">
        <v>56100</v>
      </c>
      <c r="P59" s="17">
        <v>60700</v>
      </c>
      <c r="Q59" s="17">
        <v>67300</v>
      </c>
      <c r="R59" s="17">
        <v>71000</v>
      </c>
      <c r="S59" s="17">
        <v>75300</v>
      </c>
      <c r="T59" s="17">
        <v>79900</v>
      </c>
      <c r="U59" s="17">
        <v>88900</v>
      </c>
      <c r="V59" s="17">
        <v>123100</v>
      </c>
      <c r="W59" s="17">
        <v>129700</v>
      </c>
      <c r="X59" s="17">
        <v>145800</v>
      </c>
      <c r="Y59" s="17">
        <v>148800</v>
      </c>
    </row>
    <row r="60" spans="2:25" hidden="1" x14ac:dyDescent="0.3">
      <c r="B60" s="17">
        <v>56200</v>
      </c>
      <c r="C60" s="17">
        <v>56800</v>
      </c>
      <c r="D60" s="17">
        <v>57900</v>
      </c>
      <c r="E60" s="17">
        <v>60800</v>
      </c>
      <c r="F60" s="17">
        <v>65900</v>
      </c>
      <c r="G60" s="17">
        <v>68000</v>
      </c>
      <c r="H60" s="17">
        <v>71200</v>
      </c>
      <c r="I60" s="17">
        <v>83500</v>
      </c>
      <c r="J60" s="17">
        <v>91300</v>
      </c>
      <c r="K60" s="17">
        <v>106700</v>
      </c>
      <c r="L60" s="17">
        <v>119700</v>
      </c>
      <c r="M60" s="17">
        <v>140100</v>
      </c>
      <c r="N60" s="17">
        <v>167800</v>
      </c>
      <c r="O60" s="17">
        <v>177500</v>
      </c>
      <c r="P60" s="17">
        <v>192000</v>
      </c>
      <c r="Q60" s="17">
        <v>195000</v>
      </c>
      <c r="R60" s="17">
        <v>199500</v>
      </c>
      <c r="S60" s="17">
        <v>199500</v>
      </c>
      <c r="T60" s="17">
        <v>199500</v>
      </c>
      <c r="U60" s="17">
        <v>203500</v>
      </c>
      <c r="V60" s="17">
        <v>203500</v>
      </c>
      <c r="W60" s="17">
        <v>208100</v>
      </c>
      <c r="X60" s="17">
        <v>214100</v>
      </c>
      <c r="Y60" s="17">
        <v>218600</v>
      </c>
    </row>
  </sheetData>
  <sheetProtection password="CE76" sheet="1" objects="1" scenarios="1" formatColumns="0" formatRows="0"/>
  <mergeCells count="4">
    <mergeCell ref="B1:J1"/>
    <mergeCell ref="K1:N1"/>
    <mergeCell ref="O1:V1"/>
    <mergeCell ref="W1:Y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57</vt:i4>
      </vt:variant>
    </vt:vector>
  </HeadingPairs>
  <TitlesOfParts>
    <vt:vector size="65" baseType="lpstr">
      <vt:lpstr>fixation on confirm_1</vt:lpstr>
      <vt:lpstr>INTRO</vt:lpstr>
      <vt:lpstr>MASTER</vt:lpstr>
      <vt:lpstr>ORDER</vt:lpstr>
      <vt:lpstr>DATA ENTRY</vt:lpstr>
      <vt:lpstr>ARREAR</vt:lpstr>
      <vt:lpstr>control</vt:lpstr>
      <vt:lpstr>7th pay chart</vt:lpstr>
      <vt:lpstr>ORDER!_l2</vt:lpstr>
      <vt:lpstr>_l2</vt:lpstr>
      <vt:lpstr>ORDER!L_1</vt:lpstr>
      <vt:lpstr>L_1</vt:lpstr>
      <vt:lpstr>ORDER!L_10</vt:lpstr>
      <vt:lpstr>L_10</vt:lpstr>
      <vt:lpstr>ORDER!L_11</vt:lpstr>
      <vt:lpstr>L_11</vt:lpstr>
      <vt:lpstr>ORDER!L_12</vt:lpstr>
      <vt:lpstr>L_12</vt:lpstr>
      <vt:lpstr>ORDER!L_13</vt:lpstr>
      <vt:lpstr>L_13</vt:lpstr>
      <vt:lpstr>ORDER!L_14</vt:lpstr>
      <vt:lpstr>L_14</vt:lpstr>
      <vt:lpstr>ORDER!L_15</vt:lpstr>
      <vt:lpstr>L_15</vt:lpstr>
      <vt:lpstr>ORDER!L_16</vt:lpstr>
      <vt:lpstr>L_16</vt:lpstr>
      <vt:lpstr>ORDER!L_17</vt:lpstr>
      <vt:lpstr>L_17</vt:lpstr>
      <vt:lpstr>ORDER!L_18</vt:lpstr>
      <vt:lpstr>L_18</vt:lpstr>
      <vt:lpstr>ORDER!L_19</vt:lpstr>
      <vt:lpstr>L_19</vt:lpstr>
      <vt:lpstr>ORDER!L_2</vt:lpstr>
      <vt:lpstr>L_2</vt:lpstr>
      <vt:lpstr>ORDER!L_20</vt:lpstr>
      <vt:lpstr>L_20</vt:lpstr>
      <vt:lpstr>ORDER!L_21</vt:lpstr>
      <vt:lpstr>L_21</vt:lpstr>
      <vt:lpstr>ORDER!L_22</vt:lpstr>
      <vt:lpstr>L_22</vt:lpstr>
      <vt:lpstr>ORDER!L_23</vt:lpstr>
      <vt:lpstr>L_23</vt:lpstr>
      <vt:lpstr>ORDER!L_24</vt:lpstr>
      <vt:lpstr>L_24</vt:lpstr>
      <vt:lpstr>ORDER!L_3</vt:lpstr>
      <vt:lpstr>L_3</vt:lpstr>
      <vt:lpstr>ORDER!L_4</vt:lpstr>
      <vt:lpstr>L_4</vt:lpstr>
      <vt:lpstr>ORDER!L_5</vt:lpstr>
      <vt:lpstr>L_5</vt:lpstr>
      <vt:lpstr>ORDER!L_6</vt:lpstr>
      <vt:lpstr>L_6</vt:lpstr>
      <vt:lpstr>ORDER!L_7</vt:lpstr>
      <vt:lpstr>L_7</vt:lpstr>
      <vt:lpstr>ORDER!L_8</vt:lpstr>
      <vt:lpstr>L_8</vt:lpstr>
      <vt:lpstr>ORDER!L_9</vt:lpstr>
      <vt:lpstr>L_9</vt:lpstr>
      <vt:lpstr>LP_1</vt:lpstr>
      <vt:lpstr>LP_2</vt:lpstr>
      <vt:lpstr>PAY_लेवाल</vt:lpstr>
      <vt:lpstr>Payband</vt:lpstr>
      <vt:lpstr>ARREAR!Print_Area</vt:lpstr>
      <vt:lpstr>ORDER!Print_Area</vt:lpstr>
      <vt:lpstr>ARREAR!Print_Titles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 PC</dc:creator>
  <cp:lastModifiedBy>HANS RAJ JOSHI</cp:lastModifiedBy>
  <cp:lastPrinted>2021-04-21T09:18:34Z</cp:lastPrinted>
  <dcterms:created xsi:type="dcterms:W3CDTF">2020-09-28T15:20:19Z</dcterms:created>
  <dcterms:modified xsi:type="dcterms:W3CDTF">2023-02-12T10:49:08Z</dcterms:modified>
</cp:coreProperties>
</file>