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55"/>
  </bookViews>
  <sheets>
    <sheet name="Master Data" sheetId="2" r:id="rId1"/>
    <sheet name="Other Deduction" sheetId="1" r:id="rId2"/>
    <sheet name="Tax Calculation (Old)" sheetId="3" r:id="rId3"/>
    <sheet name="Tax Calculation (New)" sheetId="8" r:id="rId4"/>
  </sheets>
  <definedNames>
    <definedName name="_xlnm._FilterDatabase" localSheetId="0" hidden="1">'Master Data'!$A$5:$AD$9</definedName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_xlnm.Print_Area" localSheetId="0">'Master Data'!$C$5:$AC$37</definedName>
    <definedName name="_xlnm.Print_Area" localSheetId="3">'Tax Calculation (New)'!$A$1:$R$68</definedName>
    <definedName name="_xlnm.Print_Area" localSheetId="2">'Tax Calculation (Old)'!$B$1:$Q$64</definedName>
    <definedName name="Sex">'Other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  <definedName name="Z_01E6FF9C_BB30_4C32_9D09_6DB93F11503E_.wvu.Cols" localSheetId="0" hidden="1">'Master Data'!$AD:$XFD</definedName>
    <definedName name="Z_01E6FF9C_BB30_4C32_9D09_6DB93F11503E_.wvu.Cols" localSheetId="1" hidden="1">'Other Deduction'!$G:$XFD</definedName>
    <definedName name="Z_01E6FF9C_BB30_4C32_9D09_6DB93F11503E_.wvu.Cols" localSheetId="2" hidden="1">'Tax Calculation (Old)'!$S:$XFD</definedName>
    <definedName name="Z_01E6FF9C_BB30_4C32_9D09_6DB93F11503E_.wvu.PrintArea" localSheetId="0" hidden="1">'Master Data'!$C$5:$AC$35</definedName>
    <definedName name="Z_01E6FF9C_BB30_4C32_9D09_6DB93F11503E_.wvu.PrintArea" localSheetId="2" hidden="1">'Tax Calculation (Old)'!$B$1:$Q$68</definedName>
    <definedName name="Z_01E6FF9C_BB30_4C32_9D09_6DB93F11503E_.wvu.Rows" localSheetId="0" hidden="1">'Master Data'!$948:$1048576,'Master Data'!$36:$947</definedName>
    <definedName name="Z_01E6FF9C_BB30_4C32_9D09_6DB93F11503E_.wvu.Rows" localSheetId="1" hidden="1">'Other Deduction'!$560:$1048576,'Other Deduction'!$22:$559</definedName>
    <definedName name="Z_01E6FF9C_BB30_4C32_9D09_6DB93F11503E_.wvu.Rows" localSheetId="2" hidden="1">'Tax Calculation (Old)'!$74:$1048576,'Tax Calculation (Old)'!$70:$73</definedName>
    <definedName name="Z_483AFC7C_A53B_4837_A853_31CBC6C9ED1B_.wvu.Cols" localSheetId="0" hidden="1">'Master Data'!$AD:$XFD</definedName>
    <definedName name="Z_483AFC7C_A53B_4837_A853_31CBC6C9ED1B_.wvu.Cols" localSheetId="1" hidden="1">'Other Deduction'!$G:$XFD</definedName>
    <definedName name="Z_483AFC7C_A53B_4837_A853_31CBC6C9ED1B_.wvu.Cols" localSheetId="2" hidden="1">'Tax Calculation (Old)'!$S:$XFD</definedName>
    <definedName name="Z_483AFC7C_A53B_4837_A853_31CBC6C9ED1B_.wvu.PrintArea" localSheetId="0" hidden="1">'Master Data'!$C$5:$AC$35</definedName>
    <definedName name="Z_483AFC7C_A53B_4837_A853_31CBC6C9ED1B_.wvu.PrintArea" localSheetId="2" hidden="1">'Tax Calculation (Old)'!$B$1:$Q$68</definedName>
    <definedName name="Z_483AFC7C_A53B_4837_A853_31CBC6C9ED1B_.wvu.Rows" localSheetId="0" hidden="1">'Master Data'!$948:$1048576,'Master Data'!$36:$947</definedName>
    <definedName name="Z_483AFC7C_A53B_4837_A853_31CBC6C9ED1B_.wvu.Rows" localSheetId="1" hidden="1">'Other Deduction'!$560:$1048576,'Other Deduction'!$22:$559</definedName>
    <definedName name="Z_483AFC7C_A53B_4837_A853_31CBC6C9ED1B_.wvu.Rows" localSheetId="2" hidden="1">'Tax Calculation (Old)'!$74:$1048576,'Tax Calculation (Old)'!$70:$73</definedName>
  </definedNames>
  <calcPr calcId="12451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Q14" i="8"/>
  <c r="Q20" i="2"/>
  <c r="K19"/>
  <c r="M12"/>
  <c r="D24"/>
  <c r="O23"/>
  <c r="H22"/>
  <c r="O22" s="1"/>
  <c r="N23" l="1"/>
  <c r="AA24"/>
  <c r="AA25"/>
  <c r="AA26"/>
  <c r="AA27"/>
  <c r="AA28"/>
  <c r="H10"/>
  <c r="Q61" i="8"/>
  <c r="Q42"/>
  <c r="Q41"/>
  <c r="Q40"/>
  <c r="Q39"/>
  <c r="Q38"/>
  <c r="Q37"/>
  <c r="Q36"/>
  <c r="Q35"/>
  <c r="Q32"/>
  <c r="O28"/>
  <c r="O27"/>
  <c r="I27"/>
  <c r="O26"/>
  <c r="I26"/>
  <c r="O25"/>
  <c r="O24"/>
  <c r="I24"/>
  <c r="O23"/>
  <c r="I23"/>
  <c r="O22"/>
  <c r="I22"/>
  <c r="O21"/>
  <c r="Q16"/>
  <c r="K13"/>
  <c r="M11"/>
  <c r="M8"/>
  <c r="M7"/>
  <c r="P3"/>
  <c r="L3"/>
  <c r="E3"/>
  <c r="B1"/>
  <c r="AA23" i="2" l="1"/>
  <c r="E13" i="8"/>
  <c r="M13" s="1"/>
  <c r="A2" i="1"/>
  <c r="S10" i="2"/>
  <c r="Q41" i="3"/>
  <c r="Q58"/>
  <c r="Q39"/>
  <c r="Q38"/>
  <c r="Q37"/>
  <c r="Q36"/>
  <c r="Q35"/>
  <c r="Q32"/>
  <c r="Q42"/>
  <c r="Q40"/>
  <c r="O25"/>
  <c r="O24"/>
  <c r="O21"/>
  <c r="N29" i="2"/>
  <c r="X29" s="1"/>
  <c r="N26"/>
  <c r="Q16" i="3"/>
  <c r="M8"/>
  <c r="O10" i="2"/>
  <c r="I10"/>
  <c r="D11"/>
  <c r="I26" i="3"/>
  <c r="Z11" i="2"/>
  <c r="Z12" s="1"/>
  <c r="Z13" s="1"/>
  <c r="Z14" s="1"/>
  <c r="Z15" s="1"/>
  <c r="Z16" s="1"/>
  <c r="Z17" s="1"/>
  <c r="Z18" s="1"/>
  <c r="Z19" s="1"/>
  <c r="Z20" s="1"/>
  <c r="Z21" s="1"/>
  <c r="Z22" s="1"/>
  <c r="Z29" s="1"/>
  <c r="Y11"/>
  <c r="Y12" s="1"/>
  <c r="Y13" s="1"/>
  <c r="Y14" s="1"/>
  <c r="Y15" s="1"/>
  <c r="Y16" s="1"/>
  <c r="Y17" s="1"/>
  <c r="Y18" s="1"/>
  <c r="Y19" s="1"/>
  <c r="Y20" s="1"/>
  <c r="Y21" s="1"/>
  <c r="Y22" s="1"/>
  <c r="J12"/>
  <c r="AB23" l="1"/>
  <c r="Y29"/>
  <c r="AA29" s="1"/>
  <c r="O61" i="3"/>
  <c r="O64" i="8"/>
  <c r="H11" i="2"/>
  <c r="O11" s="1"/>
  <c r="S11"/>
  <c r="AB27"/>
  <c r="AB28"/>
  <c r="I11"/>
  <c r="P3" i="3"/>
  <c r="O28"/>
  <c r="D25" i="2"/>
  <c r="N25" s="1"/>
  <c r="Z30"/>
  <c r="U30"/>
  <c r="K11"/>
  <c r="K13" s="1"/>
  <c r="K14" s="1"/>
  <c r="K15" s="1"/>
  <c r="K16" s="1"/>
  <c r="K17" s="1"/>
  <c r="K18" s="1"/>
  <c r="K20" s="1"/>
  <c r="K21" s="1"/>
  <c r="P9"/>
  <c r="O9"/>
  <c r="AB29" l="1"/>
  <c r="K30"/>
  <c r="AB25"/>
  <c r="O27" i="3"/>
  <c r="I24"/>
  <c r="W11" i="2"/>
  <c r="V11"/>
  <c r="Y30" l="1"/>
  <c r="AA10"/>
  <c r="Q11" l="1"/>
  <c r="N22"/>
  <c r="W12"/>
  <c r="V12"/>
  <c r="T11"/>
  <c r="R11"/>
  <c r="P11"/>
  <c r="M7" i="3"/>
  <c r="O26"/>
  <c r="O23"/>
  <c r="O22"/>
  <c r="I27"/>
  <c r="I23"/>
  <c r="I22"/>
  <c r="K13"/>
  <c r="M11"/>
  <c r="E13" s="1"/>
  <c r="Q5"/>
  <c r="L3"/>
  <c r="E3"/>
  <c r="B1"/>
  <c r="J13" i="2"/>
  <c r="J14" s="1"/>
  <c r="J15" s="1"/>
  <c r="J16" s="1"/>
  <c r="J17" s="1"/>
  <c r="J18" s="1"/>
  <c r="J19" s="1"/>
  <c r="J20" s="1"/>
  <c r="J21" s="1"/>
  <c r="J11"/>
  <c r="L11"/>
  <c r="G11"/>
  <c r="F11"/>
  <c r="E11"/>
  <c r="E12"/>
  <c r="E13"/>
  <c r="E14"/>
  <c r="E15"/>
  <c r="E16"/>
  <c r="E17"/>
  <c r="E18"/>
  <c r="E19"/>
  <c r="E20"/>
  <c r="E21"/>
  <c r="AA22" l="1"/>
  <c r="AB22" s="1"/>
  <c r="J30"/>
  <c r="G12"/>
  <c r="G13" s="1"/>
  <c r="G14" s="1"/>
  <c r="G15" s="1"/>
  <c r="G16" s="1"/>
  <c r="G17" s="1"/>
  <c r="G18" s="1"/>
  <c r="G19" s="1"/>
  <c r="G20" s="1"/>
  <c r="G21" s="1"/>
  <c r="R12"/>
  <c r="R13" s="1"/>
  <c r="R14" s="1"/>
  <c r="R15" s="1"/>
  <c r="R16" s="1"/>
  <c r="R17" s="1"/>
  <c r="R18" s="1"/>
  <c r="R19" s="1"/>
  <c r="R20" s="1"/>
  <c r="R21" s="1"/>
  <c r="Q12"/>
  <c r="Q13" s="1"/>
  <c r="E30"/>
  <c r="F12"/>
  <c r="F13" s="1"/>
  <c r="F14" s="1"/>
  <c r="F15" s="1"/>
  <c r="F16" s="1"/>
  <c r="F17" s="1"/>
  <c r="F18" s="1"/>
  <c r="F19" s="1"/>
  <c r="F20" s="1"/>
  <c r="F21" s="1"/>
  <c r="L12"/>
  <c r="L14" s="1"/>
  <c r="L15" s="1"/>
  <c r="L16" s="1"/>
  <c r="L17" s="1"/>
  <c r="L18" s="1"/>
  <c r="L19" s="1"/>
  <c r="L20" s="1"/>
  <c r="L21" s="1"/>
  <c r="P12"/>
  <c r="P13" s="1"/>
  <c r="P14" s="1"/>
  <c r="T12"/>
  <c r="T13" s="1"/>
  <c r="T14" s="1"/>
  <c r="T15" s="1"/>
  <c r="T16" s="1"/>
  <c r="T17" s="1"/>
  <c r="T18" s="1"/>
  <c r="T19" s="1"/>
  <c r="T20" s="1"/>
  <c r="T21" s="1"/>
  <c r="D12"/>
  <c r="Q14"/>
  <c r="Q15" s="1"/>
  <c r="Q16" s="1"/>
  <c r="Q17" s="1"/>
  <c r="Q18" s="1"/>
  <c r="Q19" s="1"/>
  <c r="Q21" s="1"/>
  <c r="Q43" i="3"/>
  <c r="AB26" i="2"/>
  <c r="W13"/>
  <c r="W14" s="1"/>
  <c r="W15" s="1"/>
  <c r="W16" s="1"/>
  <c r="W17" s="1"/>
  <c r="W18" s="1"/>
  <c r="W19" s="1"/>
  <c r="W20" s="1"/>
  <c r="W21" s="1"/>
  <c r="V13"/>
  <c r="V14" s="1"/>
  <c r="V15" s="1"/>
  <c r="V16" s="1"/>
  <c r="V17" s="1"/>
  <c r="V18" s="1"/>
  <c r="V19" s="1"/>
  <c r="V20" s="1"/>
  <c r="V21" s="1"/>
  <c r="P15"/>
  <c r="P16" s="1"/>
  <c r="P17" s="1"/>
  <c r="P18" s="1"/>
  <c r="P19" s="1"/>
  <c r="P20" s="1"/>
  <c r="P21" s="1"/>
  <c r="N10"/>
  <c r="X11" s="1"/>
  <c r="M13"/>
  <c r="M14" s="1"/>
  <c r="M15" s="1"/>
  <c r="M16" s="1"/>
  <c r="M17" s="1"/>
  <c r="M18" s="1"/>
  <c r="M19" s="1"/>
  <c r="M20" s="1"/>
  <c r="M21" s="1"/>
  <c r="S12" l="1"/>
  <c r="H12"/>
  <c r="O12" s="1"/>
  <c r="I12"/>
  <c r="L30"/>
  <c r="F30"/>
  <c r="R30"/>
  <c r="T30"/>
  <c r="D13"/>
  <c r="AA11"/>
  <c r="P30"/>
  <c r="V30"/>
  <c r="X12"/>
  <c r="X13" s="1"/>
  <c r="X14" s="1"/>
  <c r="X15" s="1"/>
  <c r="X16" s="1"/>
  <c r="X17" s="1"/>
  <c r="N11"/>
  <c r="W30"/>
  <c r="H13" i="3" s="1"/>
  <c r="M30" i="2"/>
  <c r="Q30"/>
  <c r="I20" i="8" s="1"/>
  <c r="G30" i="2"/>
  <c r="F64" i="8" l="1"/>
  <c r="X18" i="2"/>
  <c r="X19" s="1"/>
  <c r="X20" s="1"/>
  <c r="I28" i="3"/>
  <c r="I28" i="8"/>
  <c r="I21" i="3"/>
  <c r="I21" i="8"/>
  <c r="S13" i="2"/>
  <c r="H13"/>
  <c r="O13" s="1"/>
  <c r="D14"/>
  <c r="H14" s="1"/>
  <c r="I13"/>
  <c r="AB11"/>
  <c r="N12"/>
  <c r="AA12"/>
  <c r="F61" i="3"/>
  <c r="M13"/>
  <c r="Q14" s="1"/>
  <c r="X21" i="2" l="1"/>
  <c r="M64" i="8" s="1"/>
  <c r="L64"/>
  <c r="J64"/>
  <c r="S14" i="2"/>
  <c r="O14"/>
  <c r="I14"/>
  <c r="AB12"/>
  <c r="AA13"/>
  <c r="N13"/>
  <c r="D15"/>
  <c r="H15" s="1"/>
  <c r="X30" l="1"/>
  <c r="P64" i="8"/>
  <c r="S15" i="2"/>
  <c r="O15"/>
  <c r="I15"/>
  <c r="N14"/>
  <c r="AB13"/>
  <c r="AA14"/>
  <c r="J61" i="3"/>
  <c r="D16" i="2"/>
  <c r="H16" s="1"/>
  <c r="S16" l="1"/>
  <c r="O16"/>
  <c r="N15"/>
  <c r="I16"/>
  <c r="AB14"/>
  <c r="AA15"/>
  <c r="M61" i="3"/>
  <c r="L61"/>
  <c r="F8" i="1"/>
  <c r="D17" i="2"/>
  <c r="H17" s="1"/>
  <c r="S17" l="1"/>
  <c r="O17"/>
  <c r="AB15"/>
  <c r="I17"/>
  <c r="N16"/>
  <c r="AA16"/>
  <c r="P61" i="3"/>
  <c r="D18" i="2"/>
  <c r="H18" s="1"/>
  <c r="H24" l="1"/>
  <c r="S18"/>
  <c r="O18"/>
  <c r="N17"/>
  <c r="I18"/>
  <c r="AB16"/>
  <c r="AA17"/>
  <c r="AB10"/>
  <c r="D19"/>
  <c r="H19" s="1"/>
  <c r="S19" l="1"/>
  <c r="O19"/>
  <c r="AB17"/>
  <c r="I19"/>
  <c r="N18"/>
  <c r="N24"/>
  <c r="AB24" s="1"/>
  <c r="AA18"/>
  <c r="D20"/>
  <c r="H20" s="1"/>
  <c r="S20" l="1"/>
  <c r="O20"/>
  <c r="I20"/>
  <c r="AB18"/>
  <c r="AA19"/>
  <c r="N19"/>
  <c r="D21"/>
  <c r="H21" s="1"/>
  <c r="S21" l="1"/>
  <c r="S30" s="1"/>
  <c r="O21"/>
  <c r="O30" s="1"/>
  <c r="I25" i="8" s="1"/>
  <c r="I21" i="2"/>
  <c r="I30" s="1"/>
  <c r="AA20"/>
  <c r="AB19"/>
  <c r="N20"/>
  <c r="D30"/>
  <c r="I20" i="3"/>
  <c r="O20" i="8" l="1"/>
  <c r="O29" s="1"/>
  <c r="Q31"/>
  <c r="O20" i="3"/>
  <c r="H30" i="2"/>
  <c r="AB20"/>
  <c r="AA21"/>
  <c r="AA30" s="1"/>
  <c r="F19" i="1"/>
  <c r="Q33" i="8" l="1"/>
  <c r="Q44" s="1"/>
  <c r="N21" i="2"/>
  <c r="AB21" l="1"/>
  <c r="AB30" s="1"/>
  <c r="N30"/>
  <c r="Q31" i="3"/>
  <c r="I25"/>
  <c r="Q4" i="8" l="1"/>
  <c r="Q6" s="1"/>
  <c r="Q10" s="1"/>
  <c r="Q15" s="1"/>
  <c r="Q17" s="1"/>
  <c r="Q45" s="1"/>
  <c r="Q46" s="1"/>
  <c r="Q50" s="1"/>
  <c r="F4" i="1"/>
  <c r="F17" s="1"/>
  <c r="Q4" i="3"/>
  <c r="Q6" s="1"/>
  <c r="O29"/>
  <c r="Q30" s="1"/>
  <c r="Q51" i="8" l="1"/>
  <c r="Q54"/>
  <c r="Q52"/>
  <c r="Q53"/>
  <c r="Q55"/>
  <c r="M9" i="3"/>
  <c r="Q9" s="1"/>
  <c r="Q10" s="1"/>
  <c r="Q15" s="1"/>
  <c r="Q17" s="1"/>
  <c r="D20" i="1"/>
  <c r="F12"/>
  <c r="A20"/>
  <c r="Q33" i="3"/>
  <c r="Q44" s="1"/>
  <c r="Q56" i="8" l="1"/>
  <c r="Q57"/>
  <c r="Q45" i="3"/>
  <c r="Q46" s="1"/>
  <c r="Q50" l="1"/>
  <c r="Q51"/>
  <c r="Q58" i="8"/>
  <c r="Q59" s="1"/>
  <c r="Q60" s="1"/>
  <c r="Q62" s="1"/>
  <c r="Q65" s="1"/>
  <c r="Q52" i="3"/>
  <c r="F6" i="1"/>
  <c r="B65" i="8" l="1"/>
  <c r="Q53" i="3"/>
  <c r="Q54" s="1"/>
  <c r="Q55" l="1"/>
  <c r="Q56" l="1"/>
  <c r="Q57" s="1"/>
  <c r="Q59" s="1"/>
  <c r="B62" l="1"/>
  <c r="A19" i="1" s="1"/>
  <c r="Q62" i="3"/>
  <c r="D19" i="1" s="1"/>
</calcChain>
</file>

<file path=xl/comments1.xml><?xml version="1.0" encoding="utf-8"?>
<comments xmlns="http://schemas.openxmlformats.org/spreadsheetml/2006/main">
  <authors>
    <author>C P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C P:
Please select for NPS Employee "Yes"
Otherwise "No".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C P:
Please Select 
 Yes or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C P:
Example
For Month July,
Please Select 7 in Drop Down Menu.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<sst xmlns="http://schemas.openxmlformats.org/spreadsheetml/2006/main" count="454" uniqueCount="218">
  <si>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</si>
  <si>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</si>
  <si>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</si>
  <si>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</si>
  <si>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</si>
  <si>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</si>
  <si>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</si>
  <si>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</si>
  <si>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</si>
  <si>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</si>
  <si>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</si>
  <si>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</si>
  <si>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</si>
  <si>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</si>
  <si>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</si>
  <si>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</si>
  <si>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</si>
  <si>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</si>
  <si>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</si>
  <si>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</si>
  <si>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</si>
  <si>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</si>
  <si>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</si>
  <si>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</si>
  <si>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</si>
  <si>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</si>
  <si>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</si>
  <si>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vU; vk;</t>
  </si>
  <si>
    <t>PAN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</si>
  <si>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</si>
  <si>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</si>
  <si>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</si>
  <si>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</si>
  <si>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</si>
  <si>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</si>
  <si>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</si>
  <si>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</si>
  <si>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</si>
  <si>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</si>
  <si>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</si>
  <si>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</si>
  <si>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</si>
  <si>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</si>
  <si>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</si>
  <si>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</si>
  <si>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</si>
  <si>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</si>
  <si>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</si>
  <si>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</si>
  <si>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</si>
  <si>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</si>
  <si>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</si>
  <si>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</si>
  <si>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</si>
  <si>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</si>
  <si>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</si>
  <si>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</si>
  <si>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</si>
  <si>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</si>
  <si>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</si>
  <si>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</si>
  <si>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</si>
  <si>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</si>
  <si>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</si>
  <si>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</si>
  <si>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</si>
  <si>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</si>
  <si>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</si>
  <si>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</si>
  <si>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</si>
  <si>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</si>
  <si>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</si>
  <si>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</si>
  <si>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</si>
  <si>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</si>
  <si>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</si>
  <si>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</si>
  <si>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</si>
  <si>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</si>
  <si>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</si>
  <si>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</si>
  <si>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</si>
  <si>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</si>
  <si>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</si>
  <si>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</si>
  <si>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</si>
  <si>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</si>
  <si>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</si>
  <si>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</si>
  <si>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</si>
  <si>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</si>
  <si>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Leave  Pay</t>
  </si>
  <si>
    <t>HBA Interest</t>
  </si>
  <si>
    <t>HBA Premium</t>
  </si>
  <si>
    <t>Total
Deduction</t>
  </si>
  <si>
    <t>Gross  Salary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</si>
  <si>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</si>
  <si>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</si>
  <si>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</si>
  <si>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</si>
  <si>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</si>
  <si>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</si>
  <si>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</si>
  <si>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</si>
  <si>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</si>
  <si>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</si>
  <si>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</si>
  <si>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</si>
  <si>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</si>
  <si>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</si>
  <si>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</si>
  <si>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</si>
  <si>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t>;fn gk¡ rks ftl ekg esa fcy cuk mldk Øekad pqusaA</t>
  </si>
  <si>
    <t>D;k vkius lefiZr osru fy;k gS \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</si>
  <si>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</si>
  <si>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</si>
  <si>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</si>
  <si>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</si>
  <si>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</si>
  <si>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</si>
  <si>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</si>
  <si>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</si>
  <si>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</si>
  <si>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</si>
  <si>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</si>
  <si>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</si>
  <si>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</si>
  <si>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</si>
  <si>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</si>
  <si>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</si>
  <si>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</si>
  <si>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</si>
  <si>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</si>
  <si>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</si>
  <si>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</si>
  <si>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</si>
  <si>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</si>
  <si>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</si>
  <si>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</si>
  <si>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</si>
  <si>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</si>
  <si>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Other Decuction 1</t>
  </si>
  <si>
    <t>Other Decuction 2</t>
  </si>
  <si>
    <t>Group Insurance  
Accidental</t>
  </si>
  <si>
    <t>ROP (If any, put the value in minus)</t>
  </si>
  <si>
    <t>Net Payment</t>
  </si>
  <si>
    <t>TAN:</t>
  </si>
  <si>
    <t>No</t>
  </si>
  <si>
    <t>Other Allowance 1</t>
  </si>
  <si>
    <t>Other Allowance 2</t>
  </si>
  <si>
    <t>vU; tekjkf'k ¼/kkjk 80 lh ds vUrxZr½</t>
  </si>
  <si>
    <t>D;k vkius cksul feyk gS \</t>
  </si>
  <si>
    <t>H.R.A.</t>
  </si>
  <si>
    <t>osru ds vfrfjDr dVkSfr;k¡] vk;@tek jkf'k ,oa NwV dk fooj.k</t>
  </si>
  <si>
    <t>HRA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</si>
  <si>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</si>
  <si>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19- vU; tek jkf'k ¼/kkjk 80 lh ds vUrxZr½</t>
  </si>
  <si>
    <t>(xviii)</t>
  </si>
  <si>
    <t>lqdU;k le`f) ;kstuk esa tek jkf'k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</si>
  <si>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</si>
  <si>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</si>
  <si>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</si>
  <si>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>18- vU; vk; ¼,Q Mh ij C;kt] vU; C;kt ;k vU; L=ks+= ls vk; vkfn dk ;ksx½</t>
  </si>
  <si>
    <r>
      <t xml:space="preserve">28- /kkjk 80 </t>
    </r>
    <r>
      <rPr>
        <sz val="9"/>
        <rFont val="Times New Roman"/>
        <family val="1"/>
      </rPr>
      <t>GGA</t>
    </r>
    <r>
      <rPr>
        <sz val="12"/>
        <rFont val="DevLys 010"/>
      </rPr>
      <t xml:space="preserve"> - vuqeksfnr oSKkfud]lkekftd]xzkeh.k fodkl vkfn gsrq fn;k x;k nku</t>
    </r>
  </si>
  <si>
    <r>
      <t xml:space="preserve">32- osru fcy ds vykok tek djk;k x;k aavk;dj </t>
    </r>
    <r>
      <rPr>
        <sz val="10"/>
        <rFont val="Calibri"/>
        <family val="2"/>
        <scheme val="minor"/>
      </rPr>
      <t>(TDS)</t>
    </r>
  </si>
  <si>
    <r>
      <t>20- /kkjk 80</t>
    </r>
    <r>
      <rPr>
        <sz val="10"/>
        <rFont val="Calibri"/>
        <family val="2"/>
        <scheme val="minor"/>
      </rPr>
      <t xml:space="preserve">CCC - </t>
    </r>
    <r>
      <rPr>
        <sz val="12"/>
        <rFont val="DevLys 010"/>
      </rPr>
      <t>isa'ku Iyku gsrq va'knku ¼,u-ih-,l- ds avykok½</t>
    </r>
  </si>
  <si>
    <r>
      <t xml:space="preserve">21- /kkjk </t>
    </r>
    <r>
      <rPr>
        <sz val="10"/>
        <rFont val="Calibri"/>
        <family val="2"/>
        <scheme val="minor"/>
      </rPr>
      <t>80CCD(1B)</t>
    </r>
    <r>
      <rPr>
        <sz val="12"/>
        <rFont val="Calibri"/>
        <family val="2"/>
        <scheme val="minor"/>
      </rPr>
      <t xml:space="preserve"> -</t>
    </r>
    <r>
      <rPr>
        <sz val="12"/>
        <rFont val="DevLys 010"/>
      </rPr>
      <t>uohu isa'ku ;kstuk esa vfrfjDr va'knku ¼vf/kdre :- 50]000½</t>
    </r>
  </si>
  <si>
    <r>
      <t>22- /kkjk 80</t>
    </r>
    <r>
      <rPr>
        <sz val="10"/>
        <rFont val="Calibri"/>
        <family val="2"/>
        <scheme val="minor"/>
      </rPr>
      <t xml:space="preserve">D - </t>
    </r>
    <r>
      <rPr>
        <sz val="12"/>
        <rFont val="DevLys 010"/>
      </rPr>
      <t>fpfdRlk chek izhfe;e ¼lkekU; 25000] ofj"B ukxfjd 50000½</t>
    </r>
  </si>
  <si>
    <r>
      <t>23- /kkjk 80</t>
    </r>
    <r>
      <rPr>
        <sz val="10"/>
        <rFont val="Calibri"/>
        <family val="2"/>
        <scheme val="minor"/>
      </rPr>
      <t xml:space="preserve">DD - </t>
    </r>
    <r>
      <rPr>
        <sz val="12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 xml:space="preserve">80% </t>
    </r>
    <r>
      <rPr>
        <sz val="10"/>
        <rFont val="DevLys 010"/>
      </rPr>
      <t>fodykaxrk 125000½</t>
    </r>
  </si>
  <si>
    <r>
      <t>25- /kkjk 80</t>
    </r>
    <r>
      <rPr>
        <sz val="10"/>
        <rFont val="Calibri"/>
        <family val="2"/>
        <scheme val="minor"/>
      </rPr>
      <t xml:space="preserve">E - </t>
    </r>
    <r>
      <rPr>
        <sz val="12"/>
        <rFont val="DevLys 010"/>
      </rPr>
      <t xml:space="preserve">mPp f'k{kk gsrq fy, _.k dk C;kt ¼/kkjk </t>
    </r>
    <r>
      <rPr>
        <sz val="8"/>
        <rFont val="Arial"/>
        <family val="2"/>
      </rPr>
      <t>80E</t>
    </r>
    <r>
      <rPr>
        <sz val="12"/>
        <rFont val="DevLys 010"/>
      </rPr>
      <t>½</t>
    </r>
  </si>
  <si>
    <r>
      <t>26- /kkjk 80</t>
    </r>
    <r>
      <rPr>
        <sz val="10"/>
        <rFont val="Calibri"/>
        <family val="2"/>
        <scheme val="minor"/>
      </rPr>
      <t>G -</t>
    </r>
    <r>
      <rPr>
        <sz val="12"/>
        <rFont val="DevLys 010"/>
      </rPr>
      <t xml:space="preserve"> /kekZFkZ laLFkkvksa vkfn dks fn;s nku ¼d Js.kh 100</t>
    </r>
    <r>
      <rPr>
        <sz val="8"/>
        <rFont val="Arial"/>
        <family val="2"/>
      </rPr>
      <t>%</t>
    </r>
    <r>
      <rPr>
        <sz val="12"/>
        <rFont val="DevLys 010"/>
      </rPr>
      <t xml:space="preserve"> ,oa [k Js.kh 50</t>
    </r>
    <r>
      <rPr>
        <sz val="8"/>
        <rFont val="Arial"/>
        <family val="2"/>
      </rPr>
      <t>%</t>
    </r>
    <r>
      <rPr>
        <sz val="12"/>
        <rFont val="DevLys 010"/>
      </rPr>
      <t>½</t>
    </r>
  </si>
  <si>
    <r>
      <t>27- /kkjk 80</t>
    </r>
    <r>
      <rPr>
        <sz val="10"/>
        <rFont val="Calibri"/>
        <family val="2"/>
        <scheme val="minor"/>
      </rPr>
      <t xml:space="preserve">U - </t>
    </r>
    <r>
      <rPr>
        <sz val="12"/>
        <rFont val="DevLys 010"/>
      </rPr>
      <t xml:space="preserve">LFkkbZ 'kkjhfjd fodykaxrk ¼vf/kdre 75000] </t>
    </r>
    <r>
      <rPr>
        <sz val="9"/>
        <rFont val="Times New Roman"/>
        <family val="1"/>
      </rPr>
      <t>80%</t>
    </r>
    <r>
      <rPr>
        <sz val="12"/>
        <rFont val="DevLys 010"/>
      </rPr>
      <t xml:space="preserve"> fodykaxrk 125000½</t>
    </r>
  </si>
  <si>
    <t>29- bfDoVh fyad lsfoax Ldhe</t>
  </si>
  <si>
    <t>30- LFkfxr okf"kZdh</t>
  </si>
  <si>
    <t xml:space="preserve">31- jkgr /kkjk 89 ds rgr 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</si>
  <si>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</si>
  <si>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</si>
  <si>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</si>
  <si>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</si>
  <si>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</si>
  <si>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9"/>
        <rFont val="DevLys 010 "/>
      </rPr>
      <t>¼vf/kdre : 40]000] lhfu;j flVhtu gsrq : 100]000½</t>
    </r>
  </si>
  <si>
    <r>
      <rPr>
        <sz val="12"/>
        <rFont val="DevLys 010"/>
      </rPr>
      <t>17</t>
    </r>
    <r>
      <rPr>
        <sz val="14"/>
        <rFont val="DevLys 010"/>
      </rPr>
      <t xml:space="preserve">- </t>
    </r>
    <r>
      <rPr>
        <sz val="12"/>
        <rFont val="DevLys 010"/>
      </rPr>
      <t xml:space="preserve">cpr [kkrs dh tek jkf'k ij izkIr C;kt </t>
    </r>
    <r>
      <rPr>
        <sz val="10"/>
        <rFont val="Times New Roman"/>
        <family val="1"/>
      </rPr>
      <t xml:space="preserve">(80 TTA/80 TTB) </t>
    </r>
    <r>
      <rPr>
        <sz val="12"/>
        <rFont val="DevLys 010"/>
      </rPr>
      <t>gsrq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</si>
  <si>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(80 TTB - </t>
    </r>
    <r>
      <rPr>
        <sz val="12"/>
        <rFont val="DevLys 010"/>
      </rPr>
      <t>aofj"B ukxfjd vf/kdre C;kt 50000:-½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</si>
  <si>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5-00 yk[k rd dh dj ;ksX; vk; ij vk;dj dh NwV vf/kdre :- 12500 rd½</t>
    </r>
  </si>
  <si>
    <t>GOVT SR. SEC SCHOOL DILOD HATHI, ATRU BARAN</t>
  </si>
  <si>
    <t>PARMANAND MEGHWAL</t>
  </si>
  <si>
    <t>NAME :</t>
  </si>
  <si>
    <t>SR TEACHER</t>
  </si>
  <si>
    <t>ASQPM6311G</t>
  </si>
  <si>
    <t>AAAAAAAA</t>
  </si>
  <si>
    <t>2225617763</t>
  </si>
  <si>
    <t>A/C NO.</t>
  </si>
  <si>
    <t>MOB NO.</t>
  </si>
  <si>
    <t>vk;dj x.kuk izi= o"kZ 2019&amp;2020¼dj fu/kkZj.k o"kZ 2020&amp;2021½</t>
  </si>
  <si>
    <t>vk; %  o"kZ&amp;2019&amp;20 esa izkIr dqy osru ¼ dj ;ksX; lqfo/kkvksa ds eqY; lfgr ½</t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</si>
  <si>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</t>
    </r>
    <r>
      <rPr>
        <sz val="12"/>
        <rFont val="DevLys 010"/>
      </rPr>
      <t>0]000 ¼vf/kdre½</t>
    </r>
  </si>
  <si>
    <t>flrEcj 2019
rd  :i;s</t>
  </si>
  <si>
    <t>fnlEcj 2019
rd  :i;s</t>
  </si>
  <si>
    <t>tuojh 2020
rd :i;s</t>
  </si>
  <si>
    <t>Qjojh 2020
rd  :i;s</t>
  </si>
  <si>
    <r>
      <t xml:space="preserve">;fn vki 01-01-2004 dks ;k mlds i'pkr fu;qDr dkfeZd gSa rks </t>
    </r>
    <r>
      <rPr>
        <b/>
        <sz val="14"/>
        <color theme="1"/>
        <rFont val="Calibri"/>
        <family val="2"/>
        <scheme val="minor"/>
      </rPr>
      <t xml:space="preserve">Drop Down Menu </t>
    </r>
    <r>
      <rPr>
        <b/>
        <sz val="14"/>
        <color theme="1"/>
        <rFont val="DevLys 010"/>
      </rPr>
      <t xml:space="preserve">esa ls </t>
    </r>
    <r>
      <rPr>
        <b/>
        <sz val="14"/>
        <color theme="1"/>
        <rFont val="Calibri"/>
        <family val="2"/>
        <scheme val="minor"/>
      </rPr>
      <t xml:space="preserve">"Yes" </t>
    </r>
    <r>
      <rPr>
        <b/>
        <sz val="14"/>
        <color theme="1"/>
        <rFont val="DevLys 010"/>
      </rPr>
      <t xml:space="preserve">pqusa] vU;Fkk </t>
    </r>
    <r>
      <rPr>
        <b/>
        <sz val="14"/>
        <color theme="1"/>
        <rFont val="Calibri"/>
        <family val="2"/>
        <scheme val="minor"/>
      </rPr>
      <t>"No"</t>
    </r>
    <r>
      <rPr>
        <b/>
        <sz val="14"/>
        <color theme="1"/>
        <rFont val="DevLys 010"/>
      </rPr>
      <t xml:space="preserve"> pqusaA </t>
    </r>
  </si>
  <si>
    <r>
      <t>D;k vki ofj"B ukxfjd Js.kh ¼</t>
    </r>
    <r>
      <rPr>
        <b/>
        <sz val="11"/>
        <color theme="1"/>
        <rFont val="Calibri"/>
        <family val="2"/>
        <scheme val="minor"/>
      </rPr>
      <t>60-80</t>
    </r>
    <r>
      <rPr>
        <b/>
        <sz val="13"/>
        <color theme="1"/>
        <rFont val="DevLys 010"/>
      </rPr>
      <t xml:space="preserve"> vk;qoxZ½ esa vkrs gS \</t>
    </r>
  </si>
  <si>
    <t>BASIC+D.A.</t>
  </si>
  <si>
    <t>Bill No. &amp; T.V. No.</t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</si>
  <si>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12"/>
        <rFont val="Kruti Dev 010"/>
      </rPr>
      <t>¼vf/kdre : 40]000] lhfu;j flVhtu gsrq : 100]000½</t>
    </r>
  </si>
  <si>
    <r>
      <t xml:space="preserve">2,50,000 </t>
    </r>
    <r>
      <rPr>
        <sz val="11"/>
        <rFont val="DevLys 010"/>
      </rPr>
      <t>rd</t>
    </r>
  </si>
  <si>
    <t>5,00,001-7,50,000</t>
  </si>
  <si>
    <t>7,50,001-10,00,000</t>
  </si>
  <si>
    <t>10,00,001-12,50,000</t>
  </si>
  <si>
    <t>12,50,001-15,00.000</t>
  </si>
  <si>
    <r>
      <rPr>
        <sz val="11"/>
        <rFont val="Calibri"/>
        <family val="2"/>
        <scheme val="minor"/>
      </rPr>
      <t>15,00,001</t>
    </r>
    <r>
      <rPr>
        <sz val="11"/>
        <rFont val="DevLys 010"/>
      </rPr>
      <t xml:space="preserve"> ls vf/kd</t>
    </r>
  </si>
  <si>
    <r>
      <t>24- /kkjk 80</t>
    </r>
    <r>
      <rPr>
        <sz val="10"/>
        <rFont val="Calibri"/>
        <family val="2"/>
        <scheme val="minor"/>
      </rPr>
      <t xml:space="preserve">DDB - </t>
    </r>
    <r>
      <rPr>
        <sz val="12"/>
        <rFont val="DevLys 010"/>
      </rPr>
      <t>fof'k"V jksxksa ds mipkj gsrq dVkSrh</t>
    </r>
    <r>
      <rPr>
        <sz val="12"/>
        <rFont val="Arial"/>
        <family val="2"/>
      </rPr>
      <t xml:space="preserve"> </t>
    </r>
    <r>
      <rPr>
        <sz val="12"/>
        <rFont val="DevLys 010"/>
      </rPr>
      <t>¼lkekU; 40000] ofj"B ukxfjd 1 yk[k½</t>
    </r>
  </si>
  <si>
    <t>www.rajteachers.net</t>
  </si>
  <si>
    <t>INCOME TAX CALCULATION (GA-55) 2020-21</t>
  </si>
  <si>
    <r>
      <t xml:space="preserve">DA Arrear 17%               </t>
    </r>
    <r>
      <rPr>
        <sz val="8"/>
        <rFont val="Calibri"/>
        <family val="2"/>
        <scheme val="minor"/>
      </rPr>
      <t>(July 19 To Feb. 20)</t>
    </r>
  </si>
  <si>
    <t>Surrender Arrear</t>
  </si>
  <si>
    <t>Extra Sallary</t>
  </si>
  <si>
    <t>Yes</t>
  </si>
</sst>
</file>

<file path=xl/styles.xml><?xml version="1.0" encoding="utf-8"?>
<styleSheet xmlns="http://schemas.openxmlformats.org/spreadsheetml/2006/main">
  <fonts count="84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Arial"/>
      <family val="2"/>
    </font>
    <font>
      <sz val="11"/>
      <name val="DevLys 010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imes New Roman"/>
      <family val="1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sz val="9"/>
      <name val="DevLys 010 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color theme="1"/>
      <name val="DevLys 010"/>
    </font>
    <font>
      <sz val="10"/>
      <color theme="1"/>
      <name val="Arial"/>
      <family val="2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3"/>
      <color theme="1"/>
      <name val="DevLys 010"/>
    </font>
    <font>
      <sz val="1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2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DevLys 010"/>
    </font>
    <font>
      <b/>
      <sz val="12"/>
      <color theme="1"/>
      <name val="Times New Roman"/>
      <family val="1"/>
    </font>
    <font>
      <b/>
      <sz val="20"/>
      <name val="DevLys 010"/>
    </font>
    <font>
      <sz val="12"/>
      <name val="Kruti Dev 010"/>
    </font>
    <font>
      <sz val="22"/>
      <color rgb="FFFF0000"/>
      <name val="Arial"/>
      <family val="2"/>
    </font>
    <font>
      <b/>
      <sz val="36"/>
      <color theme="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75">
    <xf numFmtId="0" fontId="0" fillId="0" borderId="0" xfId="0"/>
    <xf numFmtId="2" fontId="1" fillId="0" borderId="0" xfId="0" applyNumberFormat="1" applyFont="1" applyBorder="1" applyAlignment="1"/>
    <xf numFmtId="2" fontId="9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9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8" fillId="0" borderId="0" xfId="37" applyFont="1" applyBorder="1"/>
    <xf numFmtId="0" fontId="27" fillId="0" borderId="0" xfId="37" applyFont="1" applyBorder="1" applyAlignment="1">
      <alignment horizontal="right"/>
    </xf>
    <xf numFmtId="0" fontId="28" fillId="0" borderId="0" xfId="37" applyFont="1" applyBorder="1" applyAlignment="1">
      <alignment horizontal="right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2" fontId="36" fillId="0" borderId="10" xfId="37" applyNumberFormat="1" applyFont="1" applyBorder="1" applyAlignment="1">
      <alignment horizontal="center" vertical="center"/>
    </xf>
    <xf numFmtId="2" fontId="36" fillId="25" borderId="10" xfId="3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37" fillId="0" borderId="10" xfId="37" applyNumberFormat="1" applyFont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 textRotation="90"/>
    </xf>
    <xf numFmtId="0" fontId="33" fillId="0" borderId="10" xfId="37" applyFont="1" applyBorder="1" applyAlignment="1">
      <alignment horizontal="center" vertic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0" fontId="29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22" xfId="37" applyFont="1" applyBorder="1" applyAlignment="1">
      <alignment horizontal="center" vertical="center"/>
    </xf>
    <xf numFmtId="2" fontId="32" fillId="0" borderId="21" xfId="37" applyNumberFormat="1" applyFont="1" applyBorder="1" applyAlignment="1">
      <alignment horizontal="right" vertical="center"/>
    </xf>
    <xf numFmtId="2" fontId="33" fillId="0" borderId="21" xfId="37" applyNumberFormat="1" applyFont="1" applyBorder="1" applyAlignment="1">
      <alignment horizontal="right" vertical="center"/>
    </xf>
    <xf numFmtId="2" fontId="35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3" fillId="0" borderId="21" xfId="37" applyNumberFormat="1" applyFont="1" applyBorder="1" applyAlignment="1">
      <alignment vertical="center"/>
    </xf>
    <xf numFmtId="0" fontId="1" fillId="0" borderId="28" xfId="37" applyFont="1" applyBorder="1" applyAlignment="1">
      <alignment horizontal="right" vertical="center"/>
    </xf>
    <xf numFmtId="2" fontId="33" fillId="0" borderId="29" xfId="37" applyNumberFormat="1" applyFont="1" applyBorder="1" applyAlignment="1">
      <alignment horizontal="right"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4" fillId="0" borderId="32" xfId="37" applyFont="1" applyBorder="1" applyAlignment="1">
      <alignment horizontal="right" vertical="center"/>
    </xf>
    <xf numFmtId="0" fontId="1" fillId="0" borderId="10" xfId="37" applyFont="1" applyBorder="1" applyAlignment="1">
      <alignment horizontal="right" vertical="center"/>
    </xf>
    <xf numFmtId="0" fontId="30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3" fillId="0" borderId="0" xfId="37" applyNumberFormat="1" applyFont="1" applyBorder="1" applyAlignment="1">
      <alignment horizontal="right" vertical="center"/>
    </xf>
    <xf numFmtId="0" fontId="48" fillId="0" borderId="0" xfId="37" applyFont="1" applyBorder="1" applyAlignment="1">
      <alignment horizontal="center" vertical="center"/>
    </xf>
    <xf numFmtId="0" fontId="34" fillId="0" borderId="10" xfId="0" applyNumberFormat="1" applyFont="1" applyBorder="1" applyAlignment="1" applyProtection="1">
      <alignment horizontal="center" vertical="center"/>
      <protection locked="0" hidden="1"/>
    </xf>
    <xf numFmtId="0" fontId="43" fillId="0" borderId="10" xfId="0" applyNumberFormat="1" applyFont="1" applyBorder="1" applyAlignment="1" applyProtection="1">
      <alignment horizontal="center" vertical="center" textRotation="90"/>
      <protection hidden="1"/>
    </xf>
    <xf numFmtId="0" fontId="1" fillId="0" borderId="10" xfId="37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top"/>
    </xf>
    <xf numFmtId="0" fontId="1" fillId="0" borderId="10" xfId="37" applyFont="1" applyBorder="1" applyAlignment="1">
      <alignment horizontal="right" vertical="center"/>
    </xf>
    <xf numFmtId="0" fontId="5" fillId="26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9" fillId="24" borderId="0" xfId="0" applyNumberFormat="1" applyFont="1" applyFill="1" applyBorder="1" applyAlignment="1">
      <alignment horizontal="left" indent="2"/>
    </xf>
    <xf numFmtId="0" fontId="29" fillId="26" borderId="0" xfId="0" applyNumberFormat="1" applyFont="1" applyFill="1" applyBorder="1" applyAlignment="1">
      <alignment vertical="top"/>
    </xf>
    <xf numFmtId="0" fontId="43" fillId="26" borderId="0" xfId="0" applyNumberFormat="1" applyFont="1" applyFill="1" applyBorder="1" applyAlignment="1">
      <alignment horizontal="center" textRotation="90" wrapText="1"/>
    </xf>
    <xf numFmtId="0" fontId="34" fillId="26" borderId="0" xfId="0" applyNumberFormat="1" applyFont="1" applyFill="1" applyBorder="1" applyAlignment="1">
      <alignment vertical="center"/>
    </xf>
    <xf numFmtId="0" fontId="43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0" fontId="1" fillId="26" borderId="0" xfId="37" applyFont="1" applyFill="1"/>
    <xf numFmtId="0" fontId="28" fillId="26" borderId="0" xfId="37" applyFont="1" applyFill="1"/>
    <xf numFmtId="0" fontId="27" fillId="26" borderId="0" xfId="37" applyFont="1" applyFill="1" applyAlignment="1">
      <alignment horizontal="right"/>
    </xf>
    <xf numFmtId="0" fontId="28" fillId="26" borderId="0" xfId="37" applyFont="1" applyFill="1" applyAlignment="1">
      <alignment horizontal="right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17" fontId="34" fillId="0" borderId="10" xfId="0" applyNumberFormat="1" applyFont="1" applyFill="1" applyBorder="1" applyAlignment="1" applyProtection="1">
      <alignment horizontal="center" vertical="center"/>
    </xf>
    <xf numFmtId="1" fontId="33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0" fontId="1" fillId="0" borderId="10" xfId="37" applyFont="1" applyBorder="1" applyAlignment="1">
      <alignment horizontal="right" vertical="center"/>
    </xf>
    <xf numFmtId="0" fontId="47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47" fillId="0" borderId="15" xfId="0" applyNumberFormat="1" applyFont="1" applyFill="1" applyBorder="1" applyAlignment="1" applyProtection="1">
      <alignment horizontal="center" textRotation="90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vertical="top"/>
    </xf>
    <xf numFmtId="0" fontId="9" fillId="0" borderId="0" xfId="0" applyNumberFormat="1" applyFont="1" applyBorder="1" applyAlignment="1" applyProtection="1">
      <alignment vertical="top"/>
    </xf>
    <xf numFmtId="0" fontId="9" fillId="0" borderId="0" xfId="0" applyNumberFormat="1" applyFont="1" applyBorder="1" applyAlignment="1" applyProtection="1">
      <alignment horizontal="right" vertical="top"/>
    </xf>
    <xf numFmtId="2" fontId="9" fillId="24" borderId="17" xfId="0" applyNumberFormat="1" applyFont="1" applyFill="1" applyBorder="1" applyAlignment="1">
      <alignment horizontal="left"/>
    </xf>
    <xf numFmtId="2" fontId="9" fillId="24" borderId="17" xfId="0" applyNumberFormat="1" applyFont="1" applyFill="1" applyBorder="1" applyAlignment="1">
      <alignment horizontal="left" indent="2"/>
    </xf>
    <xf numFmtId="17" fontId="34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21" xfId="37" applyNumberFormat="1" applyFont="1" applyBorder="1" applyAlignment="1" applyProtection="1">
      <alignment horizontal="right" vertical="center"/>
      <protection locked="0" hidden="1"/>
    </xf>
    <xf numFmtId="0" fontId="9" fillId="0" borderId="0" xfId="0" applyNumberFormat="1" applyFont="1" applyBorder="1" applyAlignment="1">
      <alignment horizontal="right" vertical="top"/>
    </xf>
    <xf numFmtId="0" fontId="2" fillId="0" borderId="10" xfId="37" applyFont="1" applyBorder="1" applyAlignment="1">
      <alignment horizontal="center" vertical="center" wrapText="1"/>
    </xf>
    <xf numFmtId="2" fontId="36" fillId="0" borderId="10" xfId="37" applyNumberFormat="1" applyFont="1" applyBorder="1" applyAlignment="1" applyProtection="1">
      <alignment horizontal="center" vertical="center"/>
      <protection hidden="1"/>
    </xf>
    <xf numFmtId="0" fontId="66" fillId="28" borderId="0" xfId="0" applyNumberFormat="1" applyFont="1" applyFill="1" applyBorder="1" applyAlignment="1">
      <alignment vertical="top"/>
    </xf>
    <xf numFmtId="0" fontId="66" fillId="28" borderId="0" xfId="0" applyNumberFormat="1" applyFont="1" applyFill="1" applyBorder="1" applyAlignment="1">
      <alignment horizontal="left" vertical="top"/>
    </xf>
    <xf numFmtId="0" fontId="69" fillId="28" borderId="10" xfId="0" applyNumberFormat="1" applyFont="1" applyFill="1" applyBorder="1" applyAlignment="1">
      <alignment horizontal="center" vertical="top"/>
    </xf>
    <xf numFmtId="0" fontId="65" fillId="28" borderId="0" xfId="0" applyNumberFormat="1" applyFont="1" applyFill="1" applyBorder="1" applyAlignment="1">
      <alignment horizontal="left" vertical="top"/>
    </xf>
    <xf numFmtId="0" fontId="70" fillId="28" borderId="0" xfId="0" applyNumberFormat="1" applyFont="1" applyFill="1" applyBorder="1" applyAlignment="1">
      <alignment vertical="center"/>
    </xf>
    <xf numFmtId="9" fontId="69" fillId="28" borderId="10" xfId="0" applyNumberFormat="1" applyFont="1" applyFill="1" applyBorder="1" applyAlignment="1" applyProtection="1">
      <alignment horizontal="center" vertical="center"/>
      <protection locked="0"/>
    </xf>
    <xf numFmtId="2" fontId="74" fillId="31" borderId="17" xfId="0" applyNumberFormat="1" applyFont="1" applyFill="1" applyBorder="1" applyAlignment="1">
      <alignment horizontal="center" vertical="center"/>
    </xf>
    <xf numFmtId="1" fontId="75" fillId="30" borderId="0" xfId="0" applyNumberFormat="1" applyFont="1" applyFill="1" applyBorder="1" applyAlignment="1">
      <alignment horizontal="center" vertical="center"/>
    </xf>
    <xf numFmtId="1" fontId="75" fillId="31" borderId="0" xfId="0" applyNumberFormat="1" applyFont="1" applyFill="1" applyBorder="1" applyAlignment="1">
      <alignment horizontal="center" vertical="center"/>
    </xf>
    <xf numFmtId="1" fontId="75" fillId="29" borderId="0" xfId="0" applyNumberFormat="1" applyFont="1" applyFill="1" applyBorder="1" applyAlignment="1">
      <alignment horizontal="center" vertical="center"/>
    </xf>
    <xf numFmtId="2" fontId="75" fillId="29" borderId="0" xfId="0" applyNumberFormat="1" applyFont="1" applyFill="1" applyBorder="1" applyAlignment="1">
      <alignment horizontal="center" vertical="center"/>
    </xf>
    <xf numFmtId="2" fontId="53" fillId="29" borderId="0" xfId="0" applyNumberFormat="1" applyFont="1" applyFill="1" applyBorder="1" applyAlignment="1">
      <alignment horizontal="left" indent="1"/>
    </xf>
    <xf numFmtId="2" fontId="32" fillId="29" borderId="0" xfId="0" applyNumberFormat="1" applyFont="1" applyFill="1" applyBorder="1" applyAlignment="1" applyProtection="1">
      <alignment horizontal="center"/>
      <protection locked="0"/>
    </xf>
    <xf numFmtId="2" fontId="32" fillId="29" borderId="0" xfId="0" applyNumberFormat="1" applyFont="1" applyFill="1" applyBorder="1" applyAlignment="1" applyProtection="1">
      <alignment horizontal="left"/>
    </xf>
    <xf numFmtId="2" fontId="52" fillId="29" borderId="0" xfId="0" applyNumberFormat="1" applyFont="1" applyFill="1" applyBorder="1" applyAlignment="1">
      <alignment horizontal="left" indent="1"/>
    </xf>
    <xf numFmtId="2" fontId="1" fillId="29" borderId="0" xfId="0" applyNumberFormat="1" applyFont="1" applyFill="1" applyBorder="1" applyAlignment="1">
      <alignment horizontal="left" indent="1"/>
    </xf>
    <xf numFmtId="2" fontId="1" fillId="29" borderId="0" xfId="0" applyNumberFormat="1" applyFont="1" applyFill="1" applyBorder="1" applyAlignment="1">
      <alignment horizontal="left" vertical="center" wrapText="1" indent="1"/>
    </xf>
    <xf numFmtId="2" fontId="53" fillId="33" borderId="0" xfId="0" applyNumberFormat="1" applyFont="1" applyFill="1" applyBorder="1" applyAlignment="1">
      <alignment horizontal="left" vertical="center" wrapText="1" indent="1"/>
    </xf>
    <xf numFmtId="2" fontId="32" fillId="33" borderId="0" xfId="0" applyNumberFormat="1" applyFont="1" applyFill="1" applyBorder="1" applyAlignment="1" applyProtection="1">
      <alignment horizontal="center" vertical="center"/>
      <protection locked="0"/>
    </xf>
    <xf numFmtId="2" fontId="32" fillId="33" borderId="0" xfId="0" applyNumberFormat="1" applyFont="1" applyFill="1" applyBorder="1" applyAlignment="1" applyProtection="1">
      <alignment horizontal="left"/>
    </xf>
    <xf numFmtId="2" fontId="1" fillId="33" borderId="0" xfId="0" applyNumberFormat="1" applyFont="1" applyFill="1" applyBorder="1" applyAlignment="1">
      <alignment horizontal="left" vertical="center" indent="1"/>
    </xf>
    <xf numFmtId="2" fontId="53" fillId="33" borderId="0" xfId="0" applyNumberFormat="1" applyFont="1" applyFill="1" applyBorder="1" applyAlignment="1">
      <alignment horizontal="left" vertical="center" indent="1"/>
    </xf>
    <xf numFmtId="2" fontId="53" fillId="33" borderId="0" xfId="0" applyNumberFormat="1" applyFont="1" applyFill="1" applyBorder="1" applyAlignment="1">
      <alignment horizontal="left" indent="1"/>
    </xf>
    <xf numFmtId="2" fontId="32" fillId="33" borderId="0" xfId="0" applyNumberFormat="1" applyFont="1" applyFill="1" applyBorder="1" applyAlignment="1" applyProtection="1">
      <alignment horizontal="center"/>
      <protection locked="0"/>
    </xf>
    <xf numFmtId="2" fontId="1" fillId="33" borderId="0" xfId="0" applyNumberFormat="1" applyFont="1" applyFill="1" applyBorder="1" applyAlignment="1">
      <alignment horizontal="left" indent="1"/>
    </xf>
    <xf numFmtId="2" fontId="77" fillId="34" borderId="17" xfId="0" applyNumberFormat="1" applyFont="1" applyFill="1" applyBorder="1" applyAlignment="1">
      <alignment horizontal="center"/>
    </xf>
    <xf numFmtId="0" fontId="1" fillId="0" borderId="10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17" fontId="34" fillId="0" borderId="10" xfId="0" applyNumberFormat="1" applyFont="1" applyBorder="1" applyAlignment="1" applyProtection="1">
      <alignment horizontal="center" vertical="center" wrapText="1"/>
      <protection locked="0"/>
    </xf>
    <xf numFmtId="17" fontId="82" fillId="0" borderId="10" xfId="0" applyNumberFormat="1" applyFont="1" applyFill="1" applyBorder="1" applyAlignment="1" applyProtection="1">
      <alignment horizontal="center" vertical="center"/>
    </xf>
    <xf numFmtId="17" fontId="34" fillId="0" borderId="10" xfId="0" applyNumberFormat="1" applyFont="1" applyFill="1" applyBorder="1" applyAlignment="1" applyProtection="1">
      <alignment horizontal="left" vertical="center"/>
      <protection locked="0"/>
    </xf>
    <xf numFmtId="0" fontId="50" fillId="0" borderId="15" xfId="0" applyNumberFormat="1" applyFont="1" applyFill="1" applyBorder="1" applyAlignment="1" applyProtection="1">
      <alignment horizontal="center" textRotation="90" wrapText="1"/>
    </xf>
    <xf numFmtId="17" fontId="45" fillId="0" borderId="10" xfId="0" applyNumberFormat="1" applyFont="1" applyBorder="1" applyAlignment="1" applyProtection="1">
      <alignment horizontal="center" vertical="center"/>
    </xf>
    <xf numFmtId="0" fontId="43" fillId="0" borderId="10" xfId="0" applyNumberFormat="1" applyFont="1" applyBorder="1" applyAlignment="1" applyProtection="1">
      <alignment horizontal="center" vertical="center" textRotation="90"/>
    </xf>
    <xf numFmtId="9" fontId="34" fillId="0" borderId="10" xfId="37" applyNumberFormat="1" applyFont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 wrapText="1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43" fillId="0" borderId="10" xfId="0" applyNumberFormat="1" applyFont="1" applyBorder="1" applyAlignment="1" applyProtection="1">
      <alignment horizontal="center" vertical="center"/>
      <protection hidden="1"/>
    </xf>
    <xf numFmtId="0" fontId="34" fillId="0" borderId="10" xfId="0" applyNumberFormat="1" applyFont="1" applyFill="1" applyBorder="1" applyAlignment="1" applyProtection="1">
      <alignment vertical="center"/>
      <protection locked="0" hidden="1"/>
    </xf>
    <xf numFmtId="2" fontId="34" fillId="0" borderId="10" xfId="0" applyNumberFormat="1" applyFont="1" applyBorder="1" applyAlignment="1" applyProtection="1">
      <alignment horizontal="center" vertical="center"/>
      <protection hidden="1"/>
    </xf>
    <xf numFmtId="2" fontId="43" fillId="0" borderId="10" xfId="0" applyNumberFormat="1" applyFont="1" applyBorder="1" applyAlignment="1" applyProtection="1">
      <alignment horizontal="center" vertical="center"/>
      <protection hidden="1"/>
    </xf>
    <xf numFmtId="2" fontId="34" fillId="0" borderId="10" xfId="0" applyNumberFormat="1" applyFont="1" applyBorder="1" applyAlignment="1" applyProtection="1">
      <alignment horizontal="center" vertical="center"/>
      <protection locked="0" hidden="1"/>
    </xf>
    <xf numFmtId="0" fontId="34" fillId="0" borderId="10" xfId="0" applyNumberFormat="1" applyFont="1" applyBorder="1" applyAlignment="1" applyProtection="1">
      <alignment horizontal="center" vertical="center"/>
      <protection hidden="1"/>
    </xf>
    <xf numFmtId="0" fontId="43" fillId="0" borderId="10" xfId="0" applyNumberFormat="1" applyFont="1" applyBorder="1" applyAlignment="1" applyProtection="1">
      <alignment horizontal="center" vertical="center"/>
      <protection locked="0" hidden="1"/>
    </xf>
    <xf numFmtId="2" fontId="43" fillId="0" borderId="10" xfId="0" applyNumberFormat="1" applyFont="1" applyBorder="1" applyAlignment="1" applyProtection="1">
      <alignment horizontal="center" vertical="center"/>
      <protection locked="0" hidden="1"/>
    </xf>
    <xf numFmtId="0" fontId="58" fillId="0" borderId="10" xfId="0" applyNumberFormat="1" applyFont="1" applyBorder="1" applyAlignment="1" applyProtection="1">
      <alignment horizontal="center" vertical="center" textRotation="90"/>
      <protection hidden="1"/>
    </xf>
    <xf numFmtId="2" fontId="58" fillId="0" borderId="10" xfId="0" applyNumberFormat="1" applyFont="1" applyBorder="1" applyAlignment="1" applyProtection="1">
      <alignment horizontal="center" vertical="center" textRotation="90"/>
      <protection hidden="1"/>
    </xf>
    <xf numFmtId="0" fontId="69" fillId="28" borderId="1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top"/>
      <protection locked="0"/>
    </xf>
    <xf numFmtId="0" fontId="46" fillId="0" borderId="0" xfId="0" applyNumberFormat="1" applyFont="1" applyFill="1" applyBorder="1" applyAlignment="1">
      <alignment horizontal="center" vertical="top"/>
    </xf>
    <xf numFmtId="49" fontId="9" fillId="0" borderId="0" xfId="0" quotePrefix="1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NumberFormat="1" applyFont="1" applyBorder="1" applyAlignment="1">
      <alignment horizontal="left" vertical="top"/>
    </xf>
    <xf numFmtId="0" fontId="70" fillId="28" borderId="0" xfId="0" applyNumberFormat="1" applyFont="1" applyFill="1" applyBorder="1" applyAlignment="1">
      <alignment horizontal="left" vertical="center" indent="1"/>
    </xf>
    <xf numFmtId="0" fontId="70" fillId="28" borderId="35" xfId="0" applyNumberFormat="1" applyFont="1" applyFill="1" applyBorder="1" applyAlignment="1">
      <alignment horizontal="left" vertical="center" indent="1"/>
    </xf>
    <xf numFmtId="0" fontId="71" fillId="28" borderId="10" xfId="0" applyNumberFormat="1" applyFont="1" applyFill="1" applyBorder="1" applyAlignment="1" applyProtection="1">
      <alignment horizontal="center"/>
      <protection locked="0"/>
    </xf>
    <xf numFmtId="0" fontId="70" fillId="28" borderId="36" xfId="0" applyNumberFormat="1" applyFont="1" applyFill="1" applyBorder="1" applyAlignment="1">
      <alignment horizontal="left" vertical="center" indent="1"/>
    </xf>
    <xf numFmtId="0" fontId="67" fillId="28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9" fillId="0" borderId="11" xfId="0" applyNumberFormat="1" applyFont="1" applyBorder="1" applyAlignment="1" applyProtection="1">
      <alignment horizontal="right" vertical="top"/>
    </xf>
    <xf numFmtId="0" fontId="60" fillId="0" borderId="0" xfId="0" applyNumberFormat="1" applyFont="1" applyFill="1" applyBorder="1" applyAlignment="1">
      <alignment horizontal="center" vertical="top"/>
    </xf>
    <xf numFmtId="0" fontId="70" fillId="28" borderId="36" xfId="0" applyNumberFormat="1" applyFont="1" applyFill="1" applyBorder="1" applyAlignment="1">
      <alignment horizontal="center" vertical="center"/>
    </xf>
    <xf numFmtId="0" fontId="70" fillId="28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 applyProtection="1">
      <alignment horizontal="left" vertical="top"/>
      <protection locked="0"/>
    </xf>
    <xf numFmtId="0" fontId="9" fillId="0" borderId="11" xfId="0" applyNumberFormat="1" applyFont="1" applyBorder="1" applyAlignment="1" applyProtection="1">
      <alignment horizontal="center" vertical="top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81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center" vertical="center"/>
    </xf>
    <xf numFmtId="2" fontId="78" fillId="32" borderId="0" xfId="0" applyNumberFormat="1" applyFont="1" applyFill="1" applyBorder="1" applyAlignment="1">
      <alignment horizontal="center" vertical="center"/>
    </xf>
    <xf numFmtId="2" fontId="69" fillId="27" borderId="11" xfId="0" applyNumberFormat="1" applyFont="1" applyFill="1" applyBorder="1" applyAlignment="1">
      <alignment horizontal="center" vertical="center"/>
    </xf>
    <xf numFmtId="1" fontId="75" fillId="31" borderId="0" xfId="0" applyNumberFormat="1" applyFont="1" applyFill="1" applyBorder="1" applyAlignment="1">
      <alignment horizontal="center" vertical="center" wrapText="1"/>
    </xf>
    <xf numFmtId="1" fontId="76" fillId="30" borderId="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right" indent="1"/>
    </xf>
    <xf numFmtId="2" fontId="9" fillId="24" borderId="17" xfId="0" applyNumberFormat="1" applyFont="1" applyFill="1" applyBorder="1" applyAlignment="1">
      <alignment horizontal="right" indent="1"/>
    </xf>
    <xf numFmtId="2" fontId="77" fillId="30" borderId="0" xfId="0" applyNumberFormat="1" applyFont="1" applyFill="1" applyBorder="1" applyAlignment="1">
      <alignment horizontal="center" vertic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2" fillId="0" borderId="10" xfId="37" applyFont="1" applyBorder="1" applyAlignment="1">
      <alignment horizontal="left" vertical="center"/>
    </xf>
    <xf numFmtId="0" fontId="34" fillId="0" borderId="12" xfId="37" applyFont="1" applyBorder="1" applyAlignment="1">
      <alignment horizontal="center" vertical="center"/>
    </xf>
    <xf numFmtId="0" fontId="34" fillId="0" borderId="13" xfId="37" applyFont="1" applyBorder="1" applyAlignment="1">
      <alignment horizontal="center" vertical="center"/>
    </xf>
    <xf numFmtId="0" fontId="34" fillId="0" borderId="14" xfId="37" applyFont="1" applyBorder="1" applyAlignment="1">
      <alignment horizontal="center" vertical="center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1" fillId="0" borderId="10" xfId="37" applyFont="1" applyBorder="1" applyAlignment="1">
      <alignment horizontal="right" vertical="center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1" fillId="0" borderId="14" xfId="37" applyFont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0" fontId="2" fillId="0" borderId="21" xfId="37" applyFont="1" applyBorder="1" applyAlignment="1">
      <alignment horizontal="left" vertical="center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44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27" fillId="0" borderId="10" xfId="37" applyFont="1" applyBorder="1" applyAlignment="1">
      <alignment horizontal="center" vertical="center"/>
    </xf>
    <xf numFmtId="0" fontId="27" fillId="0" borderId="12" xfId="37" applyFont="1" applyBorder="1" applyAlignment="1">
      <alignment horizontal="center" vertical="center"/>
    </xf>
    <xf numFmtId="0" fontId="27" fillId="0" borderId="13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5" fillId="0" borderId="12" xfId="37" applyFont="1" applyBorder="1" applyAlignment="1">
      <alignment horizontal="center" vertical="center"/>
    </xf>
    <xf numFmtId="0" fontId="0" fillId="0" borderId="13" xfId="37" applyFont="1" applyBorder="1" applyAlignment="1">
      <alignment horizontal="center" vertical="center"/>
    </xf>
    <xf numFmtId="0" fontId="0" fillId="0" borderId="14" xfId="37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0" fontId="59" fillId="0" borderId="0" xfId="37" applyFont="1" applyFill="1" applyAlignment="1">
      <alignment horizontal="center" vertical="top" wrapText="1"/>
    </xf>
    <xf numFmtId="0" fontId="2" fillId="0" borderId="12" xfId="37" applyFont="1" applyBorder="1" applyAlignment="1">
      <alignment horizontal="center" vertical="center" wrapText="1"/>
    </xf>
    <xf numFmtId="0" fontId="2" fillId="0" borderId="26" xfId="37" applyFont="1" applyBorder="1" applyAlignment="1">
      <alignment horizontal="center" vertical="center" wrapText="1"/>
    </xf>
    <xf numFmtId="0" fontId="33" fillId="0" borderId="10" xfId="37" applyFont="1" applyBorder="1" applyAlignment="1">
      <alignment horizontal="center" vertical="center" wrapText="1"/>
    </xf>
    <xf numFmtId="2" fontId="33" fillId="0" borderId="12" xfId="37" applyNumberFormat="1" applyFont="1" applyBorder="1" applyAlignment="1">
      <alignment horizontal="right" vertical="center" wrapText="1"/>
    </xf>
    <xf numFmtId="2" fontId="33" fillId="0" borderId="26" xfId="37" applyNumberFormat="1" applyFont="1" applyBorder="1" applyAlignment="1">
      <alignment horizontal="right" vertical="center" wrapText="1"/>
    </xf>
    <xf numFmtId="0" fontId="30" fillId="0" borderId="27" xfId="37" applyFont="1" applyBorder="1" applyAlignment="1">
      <alignment horizontal="right" vertical="center"/>
    </xf>
    <xf numFmtId="0" fontId="30" fillId="0" borderId="28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39" fillId="0" borderId="10" xfId="37" applyFont="1" applyFill="1" applyBorder="1" applyAlignment="1">
      <alignment horizontal="left" vertical="center" wrapText="1"/>
    </xf>
    <xf numFmtId="0" fontId="1" fillId="0" borderId="10" xfId="37" applyFont="1" applyFill="1" applyBorder="1" applyAlignment="1">
      <alignment vertical="center"/>
    </xf>
    <xf numFmtId="0" fontId="9" fillId="0" borderId="12" xfId="37" applyFont="1" applyBorder="1" applyAlignment="1">
      <alignment horizontal="right" vertical="center"/>
    </xf>
    <xf numFmtId="0" fontId="9" fillId="0" borderId="13" xfId="37" applyFont="1" applyBorder="1" applyAlignment="1">
      <alignment horizontal="right" vertical="center"/>
    </xf>
    <xf numFmtId="0" fontId="9" fillId="0" borderId="14" xfId="37" applyFont="1" applyBorder="1" applyAlignment="1">
      <alignment horizontal="right" vertical="center"/>
    </xf>
    <xf numFmtId="0" fontId="1" fillId="0" borderId="10" xfId="37" applyFont="1" applyFill="1" applyBorder="1" applyAlignment="1">
      <alignment horizontal="left" vertical="center"/>
    </xf>
    <xf numFmtId="0" fontId="1" fillId="0" borderId="18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36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0" fontId="49" fillId="0" borderId="0" xfId="37" applyFont="1" applyAlignment="1">
      <alignment horizontal="center" vertical="center"/>
    </xf>
    <xf numFmtId="0" fontId="61" fillId="0" borderId="0" xfId="37" applyFont="1" applyBorder="1" applyAlignment="1">
      <alignment horizontal="center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1" fillId="0" borderId="33" xfId="37" applyFont="1" applyFill="1" applyBorder="1" applyAlignment="1">
      <alignment horizontal="center" vertical="center"/>
    </xf>
    <xf numFmtId="0" fontId="31" fillId="0" borderId="34" xfId="37" applyFont="1" applyFill="1" applyBorder="1" applyAlignment="1">
      <alignment horizontal="center" vertical="center"/>
    </xf>
    <xf numFmtId="0" fontId="1" fillId="0" borderId="15" xfId="37" applyFont="1" applyBorder="1" applyAlignment="1">
      <alignment horizontal="left" vertical="center"/>
    </xf>
    <xf numFmtId="0" fontId="1" fillId="0" borderId="10" xfId="37" applyFont="1" applyBorder="1" applyAlignment="1">
      <alignment horizontal="center" vertical="center"/>
    </xf>
    <xf numFmtId="2" fontId="33" fillId="0" borderId="10" xfId="37" applyNumberFormat="1" applyFont="1" applyBorder="1" applyAlignment="1">
      <alignment horizontal="center" vertical="center"/>
    </xf>
    <xf numFmtId="0" fontId="31" fillId="0" borderId="32" xfId="38" applyFont="1" applyFill="1" applyBorder="1" applyAlignment="1">
      <alignment horizontal="left" vertical="center"/>
    </xf>
    <xf numFmtId="0" fontId="31" fillId="0" borderId="32" xfId="37" applyFont="1" applyFill="1" applyBorder="1" applyAlignment="1">
      <alignment horizontal="left" vertical="center"/>
    </xf>
    <xf numFmtId="0" fontId="1" fillId="0" borderId="22" xfId="37" applyFont="1" applyBorder="1" applyAlignment="1">
      <alignment horizontal="center" vertical="top"/>
    </xf>
    <xf numFmtId="2" fontId="33" fillId="0" borderId="12" xfId="37" applyNumberFormat="1" applyFont="1" applyBorder="1" applyAlignment="1">
      <alignment horizontal="center" vertical="center"/>
    </xf>
    <xf numFmtId="2" fontId="33" fillId="0" borderId="13" xfId="37" applyNumberFormat="1" applyFont="1" applyBorder="1" applyAlignment="1">
      <alignment horizontal="center" vertical="center"/>
    </xf>
    <xf numFmtId="2" fontId="33" fillId="0" borderId="14" xfId="37" applyNumberFormat="1" applyFont="1" applyBorder="1" applyAlignment="1">
      <alignment horizontal="center" vertical="center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51" fillId="0" borderId="0" xfId="37" applyFont="1" applyFill="1" applyAlignment="1">
      <alignment horizontal="center"/>
    </xf>
    <xf numFmtId="0" fontId="28" fillId="0" borderId="10" xfId="37" applyFont="1" applyBorder="1" applyAlignment="1">
      <alignment horizontal="center" vertical="center"/>
    </xf>
    <xf numFmtId="0" fontId="28" fillId="0" borderId="21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0" fontId="45" fillId="0" borderId="12" xfId="37" applyFont="1" applyBorder="1" applyAlignment="1">
      <alignment horizontal="center" vertical="center"/>
    </xf>
    <xf numFmtId="0" fontId="45" fillId="0" borderId="13" xfId="37" applyFont="1" applyBorder="1" applyAlignment="1">
      <alignment horizontal="center" vertical="center"/>
    </xf>
    <xf numFmtId="0" fontId="45" fillId="0" borderId="14" xfId="37" applyFont="1" applyBorder="1" applyAlignment="1">
      <alignment horizontal="center" vertical="center"/>
    </xf>
    <xf numFmtId="9" fontId="45" fillId="0" borderId="10" xfId="37" applyNumberFormat="1" applyFont="1" applyBorder="1" applyAlignment="1">
      <alignment horizontal="center" vertical="center"/>
    </xf>
    <xf numFmtId="0" fontId="45" fillId="0" borderId="10" xfId="37" applyFont="1" applyBorder="1" applyAlignment="1">
      <alignment horizontal="center" vertical="center"/>
    </xf>
    <xf numFmtId="0" fontId="7" fillId="0" borderId="12" xfId="37" applyFont="1" applyBorder="1" applyAlignment="1">
      <alignment horizontal="center" vertical="center"/>
    </xf>
    <xf numFmtId="0" fontId="7" fillId="0" borderId="13" xfId="37" applyFont="1" applyBorder="1" applyAlignment="1">
      <alignment horizontal="center" vertical="center"/>
    </xf>
    <xf numFmtId="0" fontId="7" fillId="0" borderId="14" xfId="37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A50021"/>
      <color rgb="FF00FF00"/>
      <color rgb="FF0000FF"/>
      <color rgb="FF33CCCC"/>
      <color rgb="FFFFCC99"/>
      <color rgb="FFCCFFCC"/>
      <color rgb="FFFF99CC"/>
      <color rgb="FFFF66CC"/>
      <color rgb="FFFFFF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99531</xdr:colOff>
      <xdr:row>0</xdr:row>
      <xdr:rowOff>254000</xdr:rowOff>
    </xdr:from>
    <xdr:to>
      <xdr:col>24</xdr:col>
      <xdr:colOff>304800</xdr:colOff>
      <xdr:row>1</xdr:row>
      <xdr:rowOff>228600</xdr:rowOff>
    </xdr:to>
    <xdr:sp macro="" textlink="">
      <xdr:nvSpPr>
        <xdr:cNvPr id="2" name="Right Arrow 1"/>
        <xdr:cNvSpPr/>
      </xdr:nvSpPr>
      <xdr:spPr>
        <a:xfrm>
          <a:off x="9580081" y="254000"/>
          <a:ext cx="624369" cy="2540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22474</xdr:colOff>
      <xdr:row>2</xdr:row>
      <xdr:rowOff>51155</xdr:rowOff>
    </xdr:from>
    <xdr:to>
      <xdr:col>22</xdr:col>
      <xdr:colOff>324599</xdr:colOff>
      <xdr:row>2</xdr:row>
      <xdr:rowOff>286605</xdr:rowOff>
    </xdr:to>
    <xdr:sp macro="" textlink="">
      <xdr:nvSpPr>
        <xdr:cNvPr id="3" name="Right Arrow 2"/>
        <xdr:cNvSpPr/>
      </xdr:nvSpPr>
      <xdr:spPr>
        <a:xfrm>
          <a:off x="8118724" y="422630"/>
          <a:ext cx="702175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8</xdr:col>
      <xdr:colOff>385281</xdr:colOff>
      <xdr:row>2</xdr:row>
      <xdr:rowOff>32107</xdr:rowOff>
    </xdr:from>
    <xdr:to>
      <xdr:col>10</xdr:col>
      <xdr:colOff>288961</xdr:colOff>
      <xdr:row>2</xdr:row>
      <xdr:rowOff>267557</xdr:rowOff>
    </xdr:to>
    <xdr:sp macro="" textlink="">
      <xdr:nvSpPr>
        <xdr:cNvPr id="4" name="Right Arrow 3"/>
        <xdr:cNvSpPr/>
      </xdr:nvSpPr>
      <xdr:spPr>
        <a:xfrm>
          <a:off x="3199972" y="406686"/>
          <a:ext cx="631433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12</xdr:col>
      <xdr:colOff>333375</xdr:colOff>
      <xdr:row>3</xdr:row>
      <xdr:rowOff>32107</xdr:rowOff>
    </xdr:from>
    <xdr:to>
      <xdr:col>14</xdr:col>
      <xdr:colOff>352425</xdr:colOff>
      <xdr:row>3</xdr:row>
      <xdr:rowOff>267557</xdr:rowOff>
    </xdr:to>
    <xdr:sp macro="" textlink="">
      <xdr:nvSpPr>
        <xdr:cNvPr id="5" name="Right Arrow 4"/>
        <xdr:cNvSpPr/>
      </xdr:nvSpPr>
      <xdr:spPr>
        <a:xfrm>
          <a:off x="4705350" y="698857"/>
          <a:ext cx="885825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23</xdr:col>
      <xdr:colOff>23331</xdr:colOff>
      <xdr:row>3</xdr:row>
      <xdr:rowOff>32107</xdr:rowOff>
    </xdr:from>
    <xdr:to>
      <xdr:col>24</xdr:col>
      <xdr:colOff>327061</xdr:colOff>
      <xdr:row>3</xdr:row>
      <xdr:rowOff>267557</xdr:rowOff>
    </xdr:to>
    <xdr:sp macro="" textlink="">
      <xdr:nvSpPr>
        <xdr:cNvPr id="6" name="Right Arrow 5"/>
        <xdr:cNvSpPr/>
      </xdr:nvSpPr>
      <xdr:spPr>
        <a:xfrm>
          <a:off x="8919681" y="698857"/>
          <a:ext cx="70378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28</xdr:col>
      <xdr:colOff>395288</xdr:colOff>
      <xdr:row>1</xdr:row>
      <xdr:rowOff>257178</xdr:rowOff>
    </xdr:from>
    <xdr:to>
      <xdr:col>28</xdr:col>
      <xdr:colOff>630738</xdr:colOff>
      <xdr:row>3</xdr:row>
      <xdr:rowOff>2088</xdr:rowOff>
    </xdr:to>
    <xdr:sp macro="" textlink="">
      <xdr:nvSpPr>
        <xdr:cNvPr id="7" name="Right Arrow 6"/>
        <xdr:cNvSpPr/>
      </xdr:nvSpPr>
      <xdr:spPr>
        <a:xfrm rot="5400000">
          <a:off x="12375358" y="583408"/>
          <a:ext cx="329110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00FF"/>
  </sheetPr>
  <dimension ref="A1:AE952"/>
  <sheetViews>
    <sheetView showGridLines="0" tabSelected="1" workbookViewId="0">
      <selection activeCell="AA3" sqref="AA3"/>
    </sheetView>
  </sheetViews>
  <sheetFormatPr defaultColWidth="9.140625" defaultRowHeight="12.75" zeroHeight="1"/>
  <cols>
    <col min="1" max="1" width="0.42578125" style="52" customWidth="1" collapsed="1"/>
    <col min="2" max="2" width="5.140625" style="6" hidden="1" customWidth="1" collapsed="1"/>
    <col min="3" max="3" width="14.28515625" style="6" customWidth="1" collapsed="1"/>
    <col min="4" max="4" width="7.85546875" style="6" customWidth="1" collapsed="1"/>
    <col min="5" max="7" width="5" style="6" customWidth="1" collapsed="1"/>
    <col min="8" max="8" width="8.42578125" style="6" customWidth="1" collapsed="1"/>
    <col min="9" max="9" width="6.85546875" style="6" customWidth="1" collapsed="1"/>
    <col min="10" max="10" width="5" style="6" customWidth="1" collapsed="1"/>
    <col min="11" max="13" width="6" style="6" customWidth="1" collapsed="1"/>
    <col min="14" max="15" width="7" style="6" customWidth="1" collapsed="1"/>
    <col min="16" max="16" width="5.85546875" style="6" customWidth="1" collapsed="1"/>
    <col min="17" max="17" width="5.7109375" style="6" customWidth="1" collapsed="1"/>
    <col min="18" max="18" width="6" style="6" customWidth="1" collapsed="1"/>
    <col min="19" max="19" width="4.85546875" style="6" customWidth="1" collapsed="1"/>
    <col min="20" max="20" width="7" style="6" customWidth="1" collapsed="1"/>
    <col min="21" max="21" width="8" style="6" bestFit="1" customWidth="1" collapsed="1"/>
    <col min="22" max="26" width="6" style="6" customWidth="1" collapsed="1"/>
    <col min="27" max="27" width="9.7109375" style="6" bestFit="1" customWidth="1" collapsed="1"/>
    <col min="28" max="28" width="13.28515625" style="6" customWidth="1" collapsed="1"/>
    <col min="29" max="29" width="15.5703125" style="6" customWidth="1" collapsed="1"/>
    <col min="30" max="30" width="0.140625" style="6" customWidth="1"/>
    <col min="31" max="31" width="9.140625" style="6" hidden="1" customWidth="1" collapsed="1"/>
    <col min="32" max="33" width="9.140625" style="6" customWidth="1" collapsed="1"/>
    <col min="34" max="16384" width="9.140625" style="6" collapsed="1"/>
  </cols>
  <sheetData>
    <row r="1" spans="1:29" ht="21.9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23.25" customHeight="1">
      <c r="C2" s="90"/>
      <c r="D2" s="150" t="s">
        <v>200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89"/>
      <c r="Y2" s="89"/>
      <c r="Z2" s="140" t="s">
        <v>147</v>
      </c>
      <c r="AA2" s="140"/>
      <c r="AB2" s="89"/>
      <c r="AC2" s="91" t="s">
        <v>154</v>
      </c>
    </row>
    <row r="3" spans="1:29" ht="23.25" customHeight="1">
      <c r="C3" s="90"/>
      <c r="D3" s="146" t="s">
        <v>113</v>
      </c>
      <c r="E3" s="146"/>
      <c r="F3" s="146"/>
      <c r="G3" s="146"/>
      <c r="H3" s="146"/>
      <c r="I3" s="146"/>
      <c r="J3" s="146"/>
      <c r="K3" s="147"/>
      <c r="L3" s="140" t="s">
        <v>217</v>
      </c>
      <c r="M3" s="140"/>
      <c r="N3" s="149" t="s">
        <v>112</v>
      </c>
      <c r="O3" s="146"/>
      <c r="P3" s="146"/>
      <c r="Q3" s="146"/>
      <c r="R3" s="146"/>
      <c r="S3" s="146"/>
      <c r="T3" s="146"/>
      <c r="U3" s="146"/>
      <c r="V3" s="146"/>
      <c r="W3" s="147"/>
      <c r="X3" s="148">
        <v>11</v>
      </c>
      <c r="Y3" s="148"/>
      <c r="Z3" s="92"/>
      <c r="AA3" s="89"/>
      <c r="AB3" s="89"/>
      <c r="AC3" s="89"/>
    </row>
    <row r="4" spans="1:29" ht="22.5" customHeight="1">
      <c r="C4" s="90"/>
      <c r="D4" s="146" t="s">
        <v>201</v>
      </c>
      <c r="E4" s="146"/>
      <c r="F4" s="146"/>
      <c r="G4" s="146"/>
      <c r="H4" s="146"/>
      <c r="I4" s="146"/>
      <c r="J4" s="146"/>
      <c r="K4" s="146"/>
      <c r="L4" s="146"/>
      <c r="M4" s="146"/>
      <c r="N4" s="93"/>
      <c r="O4" s="93"/>
      <c r="P4" s="140" t="s">
        <v>147</v>
      </c>
      <c r="Q4" s="140"/>
      <c r="R4" s="158" t="s">
        <v>151</v>
      </c>
      <c r="S4" s="159"/>
      <c r="T4" s="159"/>
      <c r="U4" s="159"/>
      <c r="V4" s="159"/>
      <c r="W4" s="159"/>
      <c r="X4" s="93"/>
      <c r="Y4" s="93"/>
      <c r="Z4" s="140" t="s">
        <v>217</v>
      </c>
      <c r="AA4" s="140"/>
      <c r="AB4" s="89"/>
      <c r="AC4" s="94">
        <v>0.08</v>
      </c>
    </row>
    <row r="5" spans="1:29" ht="36" customHeight="1">
      <c r="C5" s="141" t="s">
        <v>184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ht="24.6" customHeight="1">
      <c r="C6" s="142" t="s">
        <v>213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</row>
    <row r="7" spans="1:29" s="29" customFormat="1" ht="20.45" customHeight="1">
      <c r="A7" s="55"/>
      <c r="C7" s="86" t="s">
        <v>186</v>
      </c>
      <c r="D7" s="153" t="s">
        <v>185</v>
      </c>
      <c r="E7" s="154"/>
      <c r="F7" s="154"/>
      <c r="G7" s="154"/>
      <c r="H7" s="154"/>
      <c r="I7" s="152"/>
      <c r="J7" s="152"/>
      <c r="K7" s="151" t="s">
        <v>187</v>
      </c>
      <c r="L7" s="151"/>
      <c r="M7" s="151"/>
      <c r="N7" s="151"/>
      <c r="O7" s="86" t="s">
        <v>28</v>
      </c>
      <c r="P7" s="151" t="s">
        <v>188</v>
      </c>
      <c r="Q7" s="151"/>
      <c r="R7" s="151"/>
      <c r="S7" s="80"/>
      <c r="T7" s="81" t="s">
        <v>146</v>
      </c>
      <c r="U7" s="151" t="s">
        <v>189</v>
      </c>
      <c r="V7" s="151"/>
      <c r="W7" s="151"/>
      <c r="Z7" s="145" t="s">
        <v>191</v>
      </c>
      <c r="AA7" s="145"/>
      <c r="AB7" s="143" t="s">
        <v>190</v>
      </c>
      <c r="AC7" s="144"/>
    </row>
    <row r="8" spans="1:29" s="29" customFormat="1" ht="17.100000000000001" customHeight="1">
      <c r="A8" s="55"/>
      <c r="C8" s="50"/>
      <c r="D8" s="155"/>
      <c r="E8" s="155"/>
      <c r="F8" s="155"/>
      <c r="G8" s="155"/>
      <c r="H8" s="155"/>
      <c r="I8" s="156"/>
      <c r="J8" s="156"/>
      <c r="K8" s="160"/>
      <c r="L8" s="160"/>
      <c r="M8" s="160"/>
      <c r="N8" s="161"/>
      <c r="O8" s="161"/>
      <c r="P8" s="162"/>
      <c r="Q8" s="162"/>
      <c r="R8" s="162"/>
      <c r="S8" s="79"/>
      <c r="T8" s="79"/>
      <c r="U8" s="79"/>
      <c r="V8" s="79"/>
      <c r="W8" s="79"/>
      <c r="X8" s="79"/>
      <c r="Y8" s="79"/>
      <c r="Z8" s="161" t="s">
        <v>192</v>
      </c>
      <c r="AA8" s="161"/>
      <c r="AB8" s="160">
        <v>9784379510</v>
      </c>
      <c r="AC8" s="160"/>
    </row>
    <row r="9" spans="1:29" s="22" customFormat="1" ht="108.75" customHeight="1">
      <c r="A9" s="56"/>
      <c r="C9" s="127" t="s">
        <v>14</v>
      </c>
      <c r="D9" s="77" t="s">
        <v>2</v>
      </c>
      <c r="E9" s="76" t="s">
        <v>3</v>
      </c>
      <c r="F9" s="76" t="s">
        <v>91</v>
      </c>
      <c r="G9" s="76" t="s">
        <v>24</v>
      </c>
      <c r="H9" s="77" t="s">
        <v>25</v>
      </c>
      <c r="I9" s="77" t="s">
        <v>152</v>
      </c>
      <c r="J9" s="76" t="s">
        <v>96</v>
      </c>
      <c r="K9" s="76" t="s">
        <v>144</v>
      </c>
      <c r="L9" s="76" t="s">
        <v>148</v>
      </c>
      <c r="M9" s="76" t="s">
        <v>149</v>
      </c>
      <c r="N9" s="123" t="s">
        <v>95</v>
      </c>
      <c r="O9" s="77" t="str">
        <f>IF(Z2="No","GPF","Emp. C.Pen.F.")</f>
        <v>GPF</v>
      </c>
      <c r="P9" s="77" t="str">
        <f>IF(Z2="No","GPF LOAN","")</f>
        <v>GPF LOAN</v>
      </c>
      <c r="Q9" s="77" t="s">
        <v>15</v>
      </c>
      <c r="R9" s="77" t="s">
        <v>1</v>
      </c>
      <c r="S9" s="77" t="s">
        <v>16</v>
      </c>
      <c r="T9" s="77" t="s">
        <v>6</v>
      </c>
      <c r="U9" s="77" t="s">
        <v>143</v>
      </c>
      <c r="V9" s="77" t="s">
        <v>93</v>
      </c>
      <c r="W9" s="77" t="s">
        <v>92</v>
      </c>
      <c r="X9" s="77" t="s">
        <v>90</v>
      </c>
      <c r="Y9" s="76" t="s">
        <v>141</v>
      </c>
      <c r="Z9" s="76" t="s">
        <v>142</v>
      </c>
      <c r="AA9" s="77" t="s">
        <v>94</v>
      </c>
      <c r="AB9" s="123" t="s">
        <v>145</v>
      </c>
      <c r="AC9" s="78" t="s">
        <v>203</v>
      </c>
    </row>
    <row r="10" spans="1:29" s="23" customFormat="1" ht="18.95" customHeight="1">
      <c r="A10" s="57"/>
      <c r="B10" s="23">
        <v>3</v>
      </c>
      <c r="C10" s="124">
        <v>43891</v>
      </c>
      <c r="D10" s="47">
        <v>43800</v>
      </c>
      <c r="E10" s="47">
        <v>0</v>
      </c>
      <c r="F10" s="47">
        <v>0</v>
      </c>
      <c r="G10" s="47">
        <v>0</v>
      </c>
      <c r="H10" s="47">
        <f>ROUND(17%*D10,0)</f>
        <v>7446</v>
      </c>
      <c r="I10" s="47">
        <f>IF($AC$4=16%,ROUND(0.16*D10,0),ROUND(0.08*D10,0))</f>
        <v>3504</v>
      </c>
      <c r="J10" s="47">
        <v>0</v>
      </c>
      <c r="K10" s="47">
        <v>0</v>
      </c>
      <c r="L10" s="47">
        <v>0</v>
      </c>
      <c r="M10" s="47">
        <v>0</v>
      </c>
      <c r="N10" s="130">
        <f>SUM(D10:M10)</f>
        <v>54750</v>
      </c>
      <c r="O10" s="47">
        <f>IF($Z$2="Yes",ROUND((D10+H10)*0.1,0),IF($Z$2="No",IF(D10&lt;23101,1450,IF(D10&lt;28501,1625,IF(D10&lt;38501,2100,IF(D10&lt;51501,2850,IF(D10&lt;62001,3575,IF(D10&lt;72001,4200,IF(D10&lt;80001,4800,IF(D10&lt;116001,6150,IF(D10&lt;167001,8900,10500))))))))),0))</f>
        <v>2850</v>
      </c>
      <c r="P10" s="47">
        <v>0</v>
      </c>
      <c r="Q10" s="47">
        <v>3000</v>
      </c>
      <c r="R10" s="47">
        <v>0</v>
      </c>
      <c r="S10" s="47">
        <f t="shared" ref="S10" si="0">IF($Z$2="No",IF(D10&lt;18001,219,IF(D10&lt;33501,364,IF(D10&lt;54001,545,725))),0)</f>
        <v>545</v>
      </c>
      <c r="T10" s="47">
        <v>2500</v>
      </c>
      <c r="U10" s="47">
        <v>0</v>
      </c>
      <c r="V10" s="47"/>
      <c r="W10" s="47"/>
      <c r="X10" s="47">
        <v>0</v>
      </c>
      <c r="Y10" s="47"/>
      <c r="Z10" s="131"/>
      <c r="AA10" s="132">
        <f>SUM(O10:Z10)</f>
        <v>8895</v>
      </c>
      <c r="AB10" s="133">
        <f t="shared" ref="AB10" si="1">N10-AA10</f>
        <v>45855</v>
      </c>
      <c r="AC10" s="47"/>
    </row>
    <row r="11" spans="1:29" s="23" customFormat="1" ht="18.95" customHeight="1">
      <c r="A11" s="57"/>
      <c r="B11" s="23">
        <v>4</v>
      </c>
      <c r="C11" s="124">
        <v>43922</v>
      </c>
      <c r="D11" s="47">
        <f t="shared" ref="D11:D13" si="2">D10</f>
        <v>43800</v>
      </c>
      <c r="E11" s="47">
        <f>IF(E$10=0,0,ROUND(D11/2,0))</f>
        <v>0</v>
      </c>
      <c r="F11" s="47">
        <f t="shared" ref="F11:G16" si="3">IF(F$10=0,0,F10)</f>
        <v>0</v>
      </c>
      <c r="G11" s="47">
        <f t="shared" si="3"/>
        <v>0</v>
      </c>
      <c r="H11" s="47">
        <f t="shared" ref="H11:H21" si="4">ROUND(17%*D11,0)</f>
        <v>7446</v>
      </c>
      <c r="I11" s="47">
        <f t="shared" ref="I11:I21" si="5">IF($AC$4=16%,ROUND(0.16*D11,0),ROUND(0.08*D11,0))</f>
        <v>3504</v>
      </c>
      <c r="J11" s="47">
        <f t="shared" ref="J11:J21" si="6">IF(J$10=0,0,J10)</f>
        <v>0</v>
      </c>
      <c r="K11" s="47">
        <f t="shared" ref="K11:L21" si="7">IF(K$10=0,0,K10)</f>
        <v>0</v>
      </c>
      <c r="L11" s="47">
        <f t="shared" si="7"/>
        <v>0</v>
      </c>
      <c r="M11" s="47"/>
      <c r="N11" s="130">
        <f t="shared" ref="N11:N29" si="8">SUM(D11:M11)</f>
        <v>54750</v>
      </c>
      <c r="O11" s="47">
        <f t="shared" ref="O11:O21" si="9">IF($Z$2="Yes",ROUND((D11+H11)*0.1,0),IF($Z$2="No",IF(D11&lt;23101,1450,IF(D11&lt;28501,1625,IF(D11&lt;38501,2100,IF(D11&lt;51501,2850,IF(D11&lt;62001,3575,IF(D11&lt;72001,4200,IF(D11&lt;80001,4800,IF(D11&lt;116001,6150,IF(D11&lt;167001,8900,10500))))))))),0))</f>
        <v>2850</v>
      </c>
      <c r="P11" s="47">
        <f>P10</f>
        <v>0</v>
      </c>
      <c r="Q11" s="47">
        <f>Q10</f>
        <v>3000</v>
      </c>
      <c r="R11" s="47">
        <f>R10</f>
        <v>0</v>
      </c>
      <c r="S11" s="47">
        <f>IF($Z$2="No",IF(D11&lt;18001,242,IF(D11&lt;33501,402,IF(D11&lt;54001,602,800))),0)</f>
        <v>602</v>
      </c>
      <c r="T11" s="47">
        <f>T10</f>
        <v>2500</v>
      </c>
      <c r="U11" s="134">
        <v>220</v>
      </c>
      <c r="V11" s="47">
        <f t="shared" ref="V11:Z21" si="10">V10</f>
        <v>0</v>
      </c>
      <c r="W11" s="47">
        <f t="shared" si="10"/>
        <v>0</v>
      </c>
      <c r="X11" s="47">
        <f>X10</f>
        <v>0</v>
      </c>
      <c r="Y11" s="47">
        <f t="shared" si="10"/>
        <v>0</v>
      </c>
      <c r="Z11" s="47">
        <f t="shared" si="10"/>
        <v>0</v>
      </c>
      <c r="AA11" s="132">
        <f t="shared" ref="AA11:AA29" si="11">SUM(O11:Z11)</f>
        <v>9172</v>
      </c>
      <c r="AB11" s="133">
        <f t="shared" ref="AB11:AB26" si="12">N11-AA11</f>
        <v>45578</v>
      </c>
      <c r="AC11" s="47"/>
    </row>
    <row r="12" spans="1:29" s="23" customFormat="1" ht="18.95" customHeight="1">
      <c r="A12" s="57"/>
      <c r="B12" s="23">
        <v>5</v>
      </c>
      <c r="C12" s="124">
        <v>43952</v>
      </c>
      <c r="D12" s="47">
        <f t="shared" si="2"/>
        <v>43800</v>
      </c>
      <c r="E12" s="47">
        <f t="shared" ref="E12:E21" si="13">IF($E$10=0,0,ROUND(D12/2,0))</f>
        <v>0</v>
      </c>
      <c r="F12" s="47">
        <f t="shared" si="3"/>
        <v>0</v>
      </c>
      <c r="G12" s="47">
        <f t="shared" si="3"/>
        <v>0</v>
      </c>
      <c r="H12" s="47">
        <f t="shared" si="4"/>
        <v>7446</v>
      </c>
      <c r="I12" s="47">
        <f t="shared" si="5"/>
        <v>3504</v>
      </c>
      <c r="J12" s="47">
        <f t="shared" si="6"/>
        <v>0</v>
      </c>
      <c r="K12" s="47"/>
      <c r="L12" s="47">
        <f>IF(L$10=0,0,L11)</f>
        <v>0</v>
      </c>
      <c r="M12" s="47">
        <f>IF(M$10=0,0,M11)</f>
        <v>0</v>
      </c>
      <c r="N12" s="130">
        <f t="shared" si="8"/>
        <v>54750</v>
      </c>
      <c r="O12" s="47">
        <f t="shared" si="9"/>
        <v>2850</v>
      </c>
      <c r="P12" s="47">
        <f t="shared" ref="P12:P21" si="14">P11</f>
        <v>0</v>
      </c>
      <c r="Q12" s="47">
        <f t="shared" ref="Q12:Q21" si="15">Q11</f>
        <v>3000</v>
      </c>
      <c r="R12" s="47">
        <f t="shared" ref="R12:R21" si="16">R11</f>
        <v>0</v>
      </c>
      <c r="S12" s="47">
        <f t="shared" ref="S12:S21" si="17">IF($Z$2="No",IF(D12&lt;18001,242,IF(D12&lt;33501,402,IF(D12&lt;54001,602,800))),0)</f>
        <v>602</v>
      </c>
      <c r="T12" s="47">
        <f t="shared" ref="T12:T21" si="18">T11</f>
        <v>2500</v>
      </c>
      <c r="U12" s="47">
        <v>0</v>
      </c>
      <c r="V12" s="47">
        <f t="shared" si="10"/>
        <v>0</v>
      </c>
      <c r="W12" s="47">
        <f t="shared" si="10"/>
        <v>0</v>
      </c>
      <c r="X12" s="47">
        <f t="shared" si="10"/>
        <v>0</v>
      </c>
      <c r="Y12" s="47">
        <f t="shared" ref="Y12:Z12" si="19">Y11</f>
        <v>0</v>
      </c>
      <c r="Z12" s="47">
        <f t="shared" si="19"/>
        <v>0</v>
      </c>
      <c r="AA12" s="132">
        <f t="shared" si="11"/>
        <v>8952</v>
      </c>
      <c r="AB12" s="133">
        <f t="shared" si="12"/>
        <v>45798</v>
      </c>
      <c r="AC12" s="47"/>
    </row>
    <row r="13" spans="1:29" s="23" customFormat="1" ht="18.95" customHeight="1">
      <c r="A13" s="57"/>
      <c r="B13" s="23">
        <v>6</v>
      </c>
      <c r="C13" s="124">
        <v>43983</v>
      </c>
      <c r="D13" s="47">
        <f t="shared" si="2"/>
        <v>43800</v>
      </c>
      <c r="E13" s="47">
        <f t="shared" si="13"/>
        <v>0</v>
      </c>
      <c r="F13" s="47">
        <f t="shared" si="3"/>
        <v>0</v>
      </c>
      <c r="G13" s="47">
        <f t="shared" si="3"/>
        <v>0</v>
      </c>
      <c r="H13" s="47">
        <f t="shared" si="4"/>
        <v>7446</v>
      </c>
      <c r="I13" s="47">
        <f t="shared" si="5"/>
        <v>3504</v>
      </c>
      <c r="J13" s="47">
        <f t="shared" si="6"/>
        <v>0</v>
      </c>
      <c r="K13" s="47">
        <f t="shared" si="7"/>
        <v>0</v>
      </c>
      <c r="L13" s="47"/>
      <c r="M13" s="47">
        <f t="shared" ref="M13:M21" si="20">IF(M$10=0,0,M12)</f>
        <v>0</v>
      </c>
      <c r="N13" s="130">
        <f t="shared" si="8"/>
        <v>54750</v>
      </c>
      <c r="O13" s="47">
        <f t="shared" si="9"/>
        <v>2850</v>
      </c>
      <c r="P13" s="47">
        <f t="shared" si="14"/>
        <v>0</v>
      </c>
      <c r="Q13" s="47">
        <f t="shared" si="15"/>
        <v>3000</v>
      </c>
      <c r="R13" s="47">
        <f t="shared" si="16"/>
        <v>0</v>
      </c>
      <c r="S13" s="47">
        <f t="shared" si="17"/>
        <v>602</v>
      </c>
      <c r="T13" s="47">
        <f t="shared" si="18"/>
        <v>2500</v>
      </c>
      <c r="U13" s="47">
        <v>0</v>
      </c>
      <c r="V13" s="47">
        <f t="shared" si="10"/>
        <v>0</v>
      </c>
      <c r="W13" s="47">
        <f t="shared" si="10"/>
        <v>0</v>
      </c>
      <c r="X13" s="47">
        <f t="shared" si="10"/>
        <v>0</v>
      </c>
      <c r="Y13" s="47">
        <f t="shared" ref="Y13:Z13" si="21">Y12</f>
        <v>0</v>
      </c>
      <c r="Z13" s="47">
        <f t="shared" si="21"/>
        <v>0</v>
      </c>
      <c r="AA13" s="132">
        <f t="shared" si="11"/>
        <v>8952</v>
      </c>
      <c r="AB13" s="133">
        <f t="shared" si="12"/>
        <v>45798</v>
      </c>
      <c r="AC13" s="47"/>
    </row>
    <row r="14" spans="1:29" s="23" customFormat="1" ht="18.95" customHeight="1">
      <c r="A14" s="57"/>
      <c r="B14" s="23">
        <v>7</v>
      </c>
      <c r="C14" s="124">
        <v>44013</v>
      </c>
      <c r="D14" s="47">
        <f>MROUND(ROUND(1.03*D13,0),100)</f>
        <v>45100</v>
      </c>
      <c r="E14" s="47">
        <f t="shared" si="13"/>
        <v>0</v>
      </c>
      <c r="F14" s="47">
        <f>IF(F$10=0,0,F13)</f>
        <v>0</v>
      </c>
      <c r="G14" s="47">
        <f>IF(G$10=0,0,G13)</f>
        <v>0</v>
      </c>
      <c r="H14" s="47">
        <f t="shared" si="4"/>
        <v>7667</v>
      </c>
      <c r="I14" s="47">
        <f t="shared" si="5"/>
        <v>3608</v>
      </c>
      <c r="J14" s="47">
        <f>IF(J$10=0,0,J13)</f>
        <v>0</v>
      </c>
      <c r="K14" s="47">
        <f t="shared" ref="K14" si="22">IF(K$10=0,0,K13)</f>
        <v>0</v>
      </c>
      <c r="L14" s="47">
        <f>IF(L$10=0,0,L13)</f>
        <v>0</v>
      </c>
      <c r="M14" s="47">
        <f>IF(M$10=0,0,M13)</f>
        <v>0</v>
      </c>
      <c r="N14" s="130">
        <f t="shared" si="8"/>
        <v>56375</v>
      </c>
      <c r="O14" s="47">
        <f t="shared" si="9"/>
        <v>2850</v>
      </c>
      <c r="P14" s="47">
        <f>P13</f>
        <v>0</v>
      </c>
      <c r="Q14" s="47">
        <f>Q13</f>
        <v>3000</v>
      </c>
      <c r="R14" s="47">
        <f>R13</f>
        <v>0</v>
      </c>
      <c r="S14" s="47">
        <f t="shared" si="17"/>
        <v>602</v>
      </c>
      <c r="T14" s="47">
        <f>T13</f>
        <v>2500</v>
      </c>
      <c r="U14" s="47">
        <v>0</v>
      </c>
      <c r="V14" s="47">
        <f>V13</f>
        <v>0</v>
      </c>
      <c r="W14" s="47">
        <f>W13</f>
        <v>0</v>
      </c>
      <c r="X14" s="47">
        <f t="shared" ref="X14:Z21" si="23">X13</f>
        <v>0</v>
      </c>
      <c r="Y14" s="47">
        <f t="shared" si="23"/>
        <v>0</v>
      </c>
      <c r="Z14" s="47">
        <f t="shared" si="23"/>
        <v>0</v>
      </c>
      <c r="AA14" s="132">
        <f t="shared" si="11"/>
        <v>8952</v>
      </c>
      <c r="AB14" s="133">
        <f t="shared" si="12"/>
        <v>47423</v>
      </c>
      <c r="AC14" s="47"/>
    </row>
    <row r="15" spans="1:29" s="23" customFormat="1" ht="18.95" customHeight="1">
      <c r="A15" s="57"/>
      <c r="B15" s="23">
        <v>8</v>
      </c>
      <c r="C15" s="124">
        <v>44044</v>
      </c>
      <c r="D15" s="47">
        <f t="shared" ref="D15:D21" si="24">D14</f>
        <v>45100</v>
      </c>
      <c r="E15" s="47">
        <f t="shared" si="13"/>
        <v>0</v>
      </c>
      <c r="F15" s="47">
        <f t="shared" si="3"/>
        <v>0</v>
      </c>
      <c r="G15" s="47">
        <f t="shared" si="3"/>
        <v>0</v>
      </c>
      <c r="H15" s="47">
        <f t="shared" si="4"/>
        <v>7667</v>
      </c>
      <c r="I15" s="47">
        <f t="shared" si="5"/>
        <v>3608</v>
      </c>
      <c r="J15" s="47">
        <f t="shared" si="6"/>
        <v>0</v>
      </c>
      <c r="K15" s="47">
        <f t="shared" si="7"/>
        <v>0</v>
      </c>
      <c r="L15" s="47">
        <f t="shared" si="7"/>
        <v>0</v>
      </c>
      <c r="M15" s="47">
        <f t="shared" si="20"/>
        <v>0</v>
      </c>
      <c r="N15" s="130">
        <f t="shared" si="8"/>
        <v>56375</v>
      </c>
      <c r="O15" s="47">
        <f t="shared" si="9"/>
        <v>2850</v>
      </c>
      <c r="P15" s="47">
        <f t="shared" si="14"/>
        <v>0</v>
      </c>
      <c r="Q15" s="47">
        <f t="shared" si="15"/>
        <v>3000</v>
      </c>
      <c r="R15" s="47">
        <f t="shared" si="16"/>
        <v>0</v>
      </c>
      <c r="S15" s="47">
        <f t="shared" si="17"/>
        <v>602</v>
      </c>
      <c r="T15" s="47">
        <f t="shared" si="18"/>
        <v>2500</v>
      </c>
      <c r="U15" s="47">
        <v>0</v>
      </c>
      <c r="V15" s="47">
        <f t="shared" si="10"/>
        <v>0</v>
      </c>
      <c r="W15" s="47">
        <f t="shared" si="10"/>
        <v>0</v>
      </c>
      <c r="X15" s="47">
        <f t="shared" si="23"/>
        <v>0</v>
      </c>
      <c r="Y15" s="47">
        <f t="shared" si="23"/>
        <v>0</v>
      </c>
      <c r="Z15" s="47">
        <f t="shared" si="23"/>
        <v>0</v>
      </c>
      <c r="AA15" s="132">
        <f t="shared" si="11"/>
        <v>8952</v>
      </c>
      <c r="AB15" s="133">
        <f t="shared" si="12"/>
        <v>47423</v>
      </c>
      <c r="AC15" s="47"/>
    </row>
    <row r="16" spans="1:29" s="23" customFormat="1" ht="18.95" customHeight="1">
      <c r="A16" s="57"/>
      <c r="B16" s="23">
        <v>9</v>
      </c>
      <c r="C16" s="124">
        <v>44075</v>
      </c>
      <c r="D16" s="47">
        <f t="shared" si="24"/>
        <v>45100</v>
      </c>
      <c r="E16" s="47">
        <f t="shared" si="13"/>
        <v>0</v>
      </c>
      <c r="F16" s="47">
        <f t="shared" si="3"/>
        <v>0</v>
      </c>
      <c r="G16" s="47">
        <f t="shared" si="3"/>
        <v>0</v>
      </c>
      <c r="H16" s="47">
        <f t="shared" si="4"/>
        <v>7667</v>
      </c>
      <c r="I16" s="47">
        <f t="shared" si="5"/>
        <v>3608</v>
      </c>
      <c r="J16" s="47">
        <f t="shared" si="6"/>
        <v>0</v>
      </c>
      <c r="K16" s="47">
        <f t="shared" si="7"/>
        <v>0</v>
      </c>
      <c r="L16" s="47">
        <f t="shared" si="7"/>
        <v>0</v>
      </c>
      <c r="M16" s="47">
        <f t="shared" si="20"/>
        <v>0</v>
      </c>
      <c r="N16" s="130">
        <f t="shared" si="8"/>
        <v>56375</v>
      </c>
      <c r="O16" s="47">
        <f t="shared" si="9"/>
        <v>2850</v>
      </c>
      <c r="P16" s="47">
        <f t="shared" si="14"/>
        <v>0</v>
      </c>
      <c r="Q16" s="47">
        <f t="shared" si="15"/>
        <v>3000</v>
      </c>
      <c r="R16" s="47">
        <f t="shared" si="16"/>
        <v>0</v>
      </c>
      <c r="S16" s="47">
        <f t="shared" si="17"/>
        <v>602</v>
      </c>
      <c r="T16" s="47">
        <f t="shared" si="18"/>
        <v>2500</v>
      </c>
      <c r="U16" s="47">
        <v>0</v>
      </c>
      <c r="V16" s="47">
        <f t="shared" si="10"/>
        <v>0</v>
      </c>
      <c r="W16" s="47">
        <f t="shared" si="10"/>
        <v>0</v>
      </c>
      <c r="X16" s="47">
        <f t="shared" si="23"/>
        <v>0</v>
      </c>
      <c r="Y16" s="47">
        <f t="shared" si="23"/>
        <v>0</v>
      </c>
      <c r="Z16" s="47">
        <f t="shared" si="23"/>
        <v>0</v>
      </c>
      <c r="AA16" s="132">
        <f t="shared" si="11"/>
        <v>8952</v>
      </c>
      <c r="AB16" s="133">
        <f t="shared" si="12"/>
        <v>47423</v>
      </c>
      <c r="AC16" s="47"/>
    </row>
    <row r="17" spans="1:29" s="23" customFormat="1" ht="18.95" customHeight="1">
      <c r="A17" s="57"/>
      <c r="B17" s="23">
        <v>10</v>
      </c>
      <c r="C17" s="124">
        <v>44105</v>
      </c>
      <c r="D17" s="47">
        <f t="shared" si="24"/>
        <v>45100</v>
      </c>
      <c r="E17" s="47">
        <f t="shared" si="13"/>
        <v>0</v>
      </c>
      <c r="F17" s="47">
        <f>IF(F$10=0,0,F16)</f>
        <v>0</v>
      </c>
      <c r="G17" s="47">
        <f t="shared" ref="G17:G21" si="25">IF(G$10=0,0,G16)</f>
        <v>0</v>
      </c>
      <c r="H17" s="47">
        <f t="shared" si="4"/>
        <v>7667</v>
      </c>
      <c r="I17" s="47">
        <f t="shared" si="5"/>
        <v>3608</v>
      </c>
      <c r="J17" s="47">
        <f t="shared" si="6"/>
        <v>0</v>
      </c>
      <c r="K17" s="47">
        <f t="shared" si="7"/>
        <v>0</v>
      </c>
      <c r="L17" s="47">
        <f t="shared" si="7"/>
        <v>0</v>
      </c>
      <c r="M17" s="47">
        <f t="shared" si="20"/>
        <v>0</v>
      </c>
      <c r="N17" s="130">
        <f t="shared" si="8"/>
        <v>56375</v>
      </c>
      <c r="O17" s="47">
        <f t="shared" si="9"/>
        <v>2850</v>
      </c>
      <c r="P17" s="47">
        <f t="shared" si="14"/>
        <v>0</v>
      </c>
      <c r="Q17" s="47">
        <f t="shared" si="15"/>
        <v>3000</v>
      </c>
      <c r="R17" s="47">
        <f t="shared" si="16"/>
        <v>0</v>
      </c>
      <c r="S17" s="47">
        <f t="shared" si="17"/>
        <v>602</v>
      </c>
      <c r="T17" s="47">
        <f t="shared" si="18"/>
        <v>2500</v>
      </c>
      <c r="U17" s="47">
        <v>0</v>
      </c>
      <c r="V17" s="47">
        <f t="shared" si="10"/>
        <v>0</v>
      </c>
      <c r="W17" s="47">
        <f t="shared" si="10"/>
        <v>0</v>
      </c>
      <c r="X17" s="47">
        <f t="shared" si="23"/>
        <v>0</v>
      </c>
      <c r="Y17" s="47">
        <f t="shared" si="23"/>
        <v>0</v>
      </c>
      <c r="Z17" s="47">
        <f t="shared" si="23"/>
        <v>0</v>
      </c>
      <c r="AA17" s="132">
        <f t="shared" si="11"/>
        <v>8952</v>
      </c>
      <c r="AB17" s="133">
        <f t="shared" si="12"/>
        <v>47423</v>
      </c>
      <c r="AC17" s="47"/>
    </row>
    <row r="18" spans="1:29" s="23" customFormat="1" ht="18.95" customHeight="1">
      <c r="A18" s="57"/>
      <c r="B18" s="23">
        <v>11</v>
      </c>
      <c r="C18" s="124">
        <v>44136</v>
      </c>
      <c r="D18" s="47">
        <f t="shared" si="24"/>
        <v>45100</v>
      </c>
      <c r="E18" s="47">
        <f t="shared" si="13"/>
        <v>0</v>
      </c>
      <c r="F18" s="47">
        <f>IF(F$10=0,0,F17)</f>
        <v>0</v>
      </c>
      <c r="G18" s="47">
        <f t="shared" si="25"/>
        <v>0</v>
      </c>
      <c r="H18" s="47">
        <f t="shared" si="4"/>
        <v>7667</v>
      </c>
      <c r="I18" s="47">
        <f t="shared" si="5"/>
        <v>3608</v>
      </c>
      <c r="J18" s="47">
        <f t="shared" si="6"/>
        <v>0</v>
      </c>
      <c r="K18" s="47">
        <f t="shared" si="7"/>
        <v>0</v>
      </c>
      <c r="L18" s="47">
        <f t="shared" si="7"/>
        <v>0</v>
      </c>
      <c r="M18" s="47">
        <f t="shared" si="20"/>
        <v>0</v>
      </c>
      <c r="N18" s="130">
        <f t="shared" si="8"/>
        <v>56375</v>
      </c>
      <c r="O18" s="47">
        <f t="shared" si="9"/>
        <v>2850</v>
      </c>
      <c r="P18" s="47">
        <f t="shared" si="14"/>
        <v>0</v>
      </c>
      <c r="Q18" s="47">
        <f t="shared" si="15"/>
        <v>3000</v>
      </c>
      <c r="R18" s="47">
        <f t="shared" si="16"/>
        <v>0</v>
      </c>
      <c r="S18" s="47">
        <f t="shared" si="17"/>
        <v>602</v>
      </c>
      <c r="T18" s="47">
        <f t="shared" si="18"/>
        <v>2500</v>
      </c>
      <c r="U18" s="47">
        <v>0</v>
      </c>
      <c r="V18" s="47">
        <f t="shared" si="10"/>
        <v>0</v>
      </c>
      <c r="W18" s="47">
        <f t="shared" si="10"/>
        <v>0</v>
      </c>
      <c r="X18" s="47">
        <f t="shared" si="23"/>
        <v>0</v>
      </c>
      <c r="Y18" s="47">
        <f t="shared" si="23"/>
        <v>0</v>
      </c>
      <c r="Z18" s="47">
        <f t="shared" si="23"/>
        <v>0</v>
      </c>
      <c r="AA18" s="132">
        <f t="shared" si="11"/>
        <v>8952</v>
      </c>
      <c r="AB18" s="133">
        <f t="shared" si="12"/>
        <v>47423</v>
      </c>
      <c r="AC18" s="47"/>
    </row>
    <row r="19" spans="1:29" s="23" customFormat="1" ht="18.95" customHeight="1">
      <c r="A19" s="57"/>
      <c r="B19" s="23">
        <v>12</v>
      </c>
      <c r="C19" s="124">
        <v>44166</v>
      </c>
      <c r="D19" s="47">
        <f t="shared" si="24"/>
        <v>45100</v>
      </c>
      <c r="E19" s="47">
        <f t="shared" si="13"/>
        <v>0</v>
      </c>
      <c r="F19" s="47">
        <f>IF(F$10=0,0,F18)</f>
        <v>0</v>
      </c>
      <c r="G19" s="47">
        <f t="shared" si="25"/>
        <v>0</v>
      </c>
      <c r="H19" s="47">
        <f t="shared" si="4"/>
        <v>7667</v>
      </c>
      <c r="I19" s="47">
        <f t="shared" si="5"/>
        <v>3608</v>
      </c>
      <c r="J19" s="47">
        <f t="shared" si="6"/>
        <v>0</v>
      </c>
      <c r="K19" s="47">
        <f>IF(K$10=0,0,K18)</f>
        <v>0</v>
      </c>
      <c r="L19" s="47">
        <f t="shared" si="7"/>
        <v>0</v>
      </c>
      <c r="M19" s="47">
        <f t="shared" si="20"/>
        <v>0</v>
      </c>
      <c r="N19" s="130">
        <f t="shared" si="8"/>
        <v>56375</v>
      </c>
      <c r="O19" s="47">
        <f t="shared" si="9"/>
        <v>2850</v>
      </c>
      <c r="P19" s="47">
        <f t="shared" si="14"/>
        <v>0</v>
      </c>
      <c r="Q19" s="47">
        <f t="shared" si="15"/>
        <v>3000</v>
      </c>
      <c r="R19" s="47">
        <f t="shared" si="16"/>
        <v>0</v>
      </c>
      <c r="S19" s="47">
        <f t="shared" si="17"/>
        <v>602</v>
      </c>
      <c r="T19" s="47">
        <f t="shared" si="18"/>
        <v>2500</v>
      </c>
      <c r="U19" s="47">
        <v>0</v>
      </c>
      <c r="V19" s="47">
        <f t="shared" si="10"/>
        <v>0</v>
      </c>
      <c r="W19" s="47">
        <f t="shared" si="10"/>
        <v>0</v>
      </c>
      <c r="X19" s="47">
        <f t="shared" si="23"/>
        <v>0</v>
      </c>
      <c r="Y19" s="47">
        <f t="shared" si="23"/>
        <v>0</v>
      </c>
      <c r="Z19" s="47">
        <f t="shared" si="23"/>
        <v>0</v>
      </c>
      <c r="AA19" s="132">
        <f t="shared" si="11"/>
        <v>8952</v>
      </c>
      <c r="AB19" s="133">
        <f t="shared" si="12"/>
        <v>47423</v>
      </c>
      <c r="AC19" s="47"/>
    </row>
    <row r="20" spans="1:29" s="23" customFormat="1" ht="18.95" customHeight="1">
      <c r="A20" s="57"/>
      <c r="B20" s="23">
        <v>1</v>
      </c>
      <c r="C20" s="124">
        <v>44197</v>
      </c>
      <c r="D20" s="47">
        <f t="shared" si="24"/>
        <v>45100</v>
      </c>
      <c r="E20" s="47">
        <f t="shared" si="13"/>
        <v>0</v>
      </c>
      <c r="F20" s="47">
        <f>IF(F$10=0,0,F19)</f>
        <v>0</v>
      </c>
      <c r="G20" s="47">
        <f t="shared" si="25"/>
        <v>0</v>
      </c>
      <c r="H20" s="47">
        <f t="shared" si="4"/>
        <v>7667</v>
      </c>
      <c r="I20" s="47">
        <f t="shared" si="5"/>
        <v>3608</v>
      </c>
      <c r="J20" s="47">
        <f t="shared" si="6"/>
        <v>0</v>
      </c>
      <c r="K20" s="47">
        <f t="shared" si="7"/>
        <v>0</v>
      </c>
      <c r="L20" s="47">
        <f t="shared" si="7"/>
        <v>0</v>
      </c>
      <c r="M20" s="47">
        <f t="shared" si="20"/>
        <v>0</v>
      </c>
      <c r="N20" s="130">
        <f t="shared" si="8"/>
        <v>56375</v>
      </c>
      <c r="O20" s="47">
        <f t="shared" si="9"/>
        <v>2850</v>
      </c>
      <c r="P20" s="47">
        <f t="shared" si="14"/>
        <v>0</v>
      </c>
      <c r="Q20" s="47">
        <f t="shared" si="15"/>
        <v>3000</v>
      </c>
      <c r="R20" s="47">
        <f t="shared" si="16"/>
        <v>0</v>
      </c>
      <c r="S20" s="47">
        <f t="shared" si="17"/>
        <v>602</v>
      </c>
      <c r="T20" s="47">
        <f t="shared" si="18"/>
        <v>2500</v>
      </c>
      <c r="U20" s="47">
        <v>0</v>
      </c>
      <c r="V20" s="47">
        <f t="shared" si="10"/>
        <v>0</v>
      </c>
      <c r="W20" s="47">
        <f t="shared" si="10"/>
        <v>0</v>
      </c>
      <c r="X20" s="47">
        <f t="shared" si="23"/>
        <v>0</v>
      </c>
      <c r="Y20" s="47">
        <f t="shared" si="23"/>
        <v>0</v>
      </c>
      <c r="Z20" s="47">
        <f t="shared" si="23"/>
        <v>0</v>
      </c>
      <c r="AA20" s="132">
        <f t="shared" si="11"/>
        <v>8952</v>
      </c>
      <c r="AB20" s="133">
        <f t="shared" si="12"/>
        <v>47423</v>
      </c>
      <c r="AC20" s="47"/>
    </row>
    <row r="21" spans="1:29" s="23" customFormat="1" ht="18.95" customHeight="1">
      <c r="A21" s="57"/>
      <c r="B21" s="23">
        <v>2</v>
      </c>
      <c r="C21" s="124">
        <v>44228</v>
      </c>
      <c r="D21" s="47">
        <f t="shared" si="24"/>
        <v>45100</v>
      </c>
      <c r="E21" s="47">
        <f t="shared" si="13"/>
        <v>0</v>
      </c>
      <c r="F21" s="47">
        <f>IF(F$10=0,0,F20)</f>
        <v>0</v>
      </c>
      <c r="G21" s="47">
        <f t="shared" si="25"/>
        <v>0</v>
      </c>
      <c r="H21" s="47">
        <f t="shared" si="4"/>
        <v>7667</v>
      </c>
      <c r="I21" s="47">
        <f t="shared" si="5"/>
        <v>3608</v>
      </c>
      <c r="J21" s="47">
        <f t="shared" si="6"/>
        <v>0</v>
      </c>
      <c r="K21" s="47">
        <f t="shared" si="7"/>
        <v>0</v>
      </c>
      <c r="L21" s="47">
        <f t="shared" si="7"/>
        <v>0</v>
      </c>
      <c r="M21" s="47">
        <f t="shared" si="20"/>
        <v>0</v>
      </c>
      <c r="N21" s="130">
        <f t="shared" si="8"/>
        <v>56375</v>
      </c>
      <c r="O21" s="47">
        <f t="shared" si="9"/>
        <v>2850</v>
      </c>
      <c r="P21" s="47">
        <f t="shared" si="14"/>
        <v>0</v>
      </c>
      <c r="Q21" s="47">
        <f t="shared" si="15"/>
        <v>3000</v>
      </c>
      <c r="R21" s="47">
        <f t="shared" si="16"/>
        <v>0</v>
      </c>
      <c r="S21" s="47">
        <f t="shared" si="17"/>
        <v>602</v>
      </c>
      <c r="T21" s="47">
        <f t="shared" si="18"/>
        <v>2500</v>
      </c>
      <c r="U21" s="47">
        <v>0</v>
      </c>
      <c r="V21" s="47">
        <f t="shared" si="10"/>
        <v>0</v>
      </c>
      <c r="W21" s="47">
        <f t="shared" si="10"/>
        <v>0</v>
      </c>
      <c r="X21" s="47">
        <f t="shared" si="23"/>
        <v>0</v>
      </c>
      <c r="Y21" s="47">
        <f t="shared" si="23"/>
        <v>0</v>
      </c>
      <c r="Z21" s="47">
        <f t="shared" si="23"/>
        <v>0</v>
      </c>
      <c r="AA21" s="132">
        <f t="shared" si="11"/>
        <v>8952</v>
      </c>
      <c r="AB21" s="133">
        <f t="shared" si="12"/>
        <v>47423</v>
      </c>
      <c r="AC21" s="47"/>
    </row>
    <row r="22" spans="1:29" s="23" customFormat="1" ht="42.6" customHeight="1">
      <c r="A22" s="57"/>
      <c r="C22" s="120" t="s">
        <v>214</v>
      </c>
      <c r="D22" s="47"/>
      <c r="E22" s="47"/>
      <c r="F22" s="47"/>
      <c r="G22" s="47"/>
      <c r="H22" s="47">
        <f>(ROUND(17%*D10,0)-ROUND(12%*D10,0))*8</f>
        <v>17520</v>
      </c>
      <c r="I22" s="47"/>
      <c r="J22" s="47"/>
      <c r="K22" s="47"/>
      <c r="L22" s="47"/>
      <c r="M22" s="47"/>
      <c r="N22" s="130">
        <f t="shared" si="8"/>
        <v>17520</v>
      </c>
      <c r="O22" s="135">
        <f>IF($Z$2="Yes",ROUND(N22*10/100,0),IF($Z$2="No",H22,0))</f>
        <v>17520</v>
      </c>
      <c r="P22" s="135"/>
      <c r="Q22" s="135">
        <v>0</v>
      </c>
      <c r="R22" s="135"/>
      <c r="S22" s="135"/>
      <c r="T22" s="135">
        <v>0</v>
      </c>
      <c r="U22" s="135"/>
      <c r="V22" s="135"/>
      <c r="W22" s="135"/>
      <c r="X22" s="135"/>
      <c r="Y22" s="135">
        <f t="shared" ref="Y22:Z22" si="26">Y21</f>
        <v>0</v>
      </c>
      <c r="Z22" s="135">
        <f t="shared" si="26"/>
        <v>0</v>
      </c>
      <c r="AA22" s="132">
        <f t="shared" si="11"/>
        <v>17520</v>
      </c>
      <c r="AB22" s="133">
        <f t="shared" si="12"/>
        <v>0</v>
      </c>
      <c r="AC22" s="47"/>
    </row>
    <row r="23" spans="1:29" s="23" customFormat="1" ht="26.1" customHeight="1">
      <c r="A23" s="57"/>
      <c r="C23" s="121" t="s">
        <v>215</v>
      </c>
      <c r="D23" s="47">
        <v>21900</v>
      </c>
      <c r="E23" s="47"/>
      <c r="F23" s="47"/>
      <c r="G23" s="47"/>
      <c r="H23" s="47">
        <v>1095</v>
      </c>
      <c r="I23" s="47"/>
      <c r="J23" s="47"/>
      <c r="K23" s="47"/>
      <c r="L23" s="47"/>
      <c r="M23" s="47"/>
      <c r="N23" s="130">
        <f>H23</f>
        <v>1095</v>
      </c>
      <c r="O23" s="135">
        <f>IF($Z$2="Yes",ROUND((ROUND(17%*D23,0)-ROUND(12%*D23,0))*10%,0)*1,IF($Z$2="No",H23,0))</f>
        <v>1095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2">
        <f>SUM(O23:Z23)</f>
        <v>1095</v>
      </c>
      <c r="AB23" s="133">
        <f>N23-O23</f>
        <v>0</v>
      </c>
      <c r="AC23" s="47"/>
    </row>
    <row r="24" spans="1:29" s="23" customFormat="1" ht="18.95" customHeight="1">
      <c r="A24" s="57"/>
      <c r="C24" s="68" t="s">
        <v>70</v>
      </c>
      <c r="D24" s="135">
        <f>IF(L3="NO",0,IF(X3=3,D21,VLOOKUP(X3,B10:D21,3,FALSE)))/2</f>
        <v>22550</v>
      </c>
      <c r="E24" s="135"/>
      <c r="F24" s="135"/>
      <c r="G24" s="135"/>
      <c r="H24" s="135">
        <f>IF(AND(X3&gt;3,X3&lt;9),ROUND(17%*D24,0),ROUND(17%*D24,0))</f>
        <v>3834</v>
      </c>
      <c r="I24" s="135"/>
      <c r="J24" s="135"/>
      <c r="K24" s="135"/>
      <c r="L24" s="135"/>
      <c r="M24" s="135"/>
      <c r="N24" s="130">
        <f t="shared" si="8"/>
        <v>26384</v>
      </c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2">
        <f t="shared" si="11"/>
        <v>0</v>
      </c>
      <c r="AB24" s="133">
        <f t="shared" si="12"/>
        <v>26384</v>
      </c>
      <c r="AC24" s="47"/>
    </row>
    <row r="25" spans="1:29" s="23" customFormat="1" ht="18.95" customHeight="1">
      <c r="A25" s="57"/>
      <c r="C25" s="68" t="s">
        <v>71</v>
      </c>
      <c r="D25" s="135">
        <f>IF(Z4="Yes",6774,0)</f>
        <v>6774</v>
      </c>
      <c r="E25" s="135"/>
      <c r="F25" s="135"/>
      <c r="G25" s="135"/>
      <c r="H25" s="135"/>
      <c r="I25" s="135"/>
      <c r="J25" s="135"/>
      <c r="K25" s="135"/>
      <c r="L25" s="135"/>
      <c r="M25" s="135"/>
      <c r="N25" s="130">
        <f t="shared" si="8"/>
        <v>6774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2">
        <f t="shared" si="11"/>
        <v>0</v>
      </c>
      <c r="AB25" s="133">
        <f t="shared" si="12"/>
        <v>6774</v>
      </c>
      <c r="AC25" s="47"/>
    </row>
    <row r="26" spans="1:29" s="23" customFormat="1" ht="18.95" customHeight="1">
      <c r="A26" s="57"/>
      <c r="C26" s="84" t="s">
        <v>86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36">
        <f t="shared" si="8"/>
        <v>0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134">
        <f t="shared" si="11"/>
        <v>0</v>
      </c>
      <c r="AB26" s="137">
        <f t="shared" si="12"/>
        <v>0</v>
      </c>
      <c r="AC26" s="47"/>
    </row>
    <row r="27" spans="1:29" s="23" customFormat="1" ht="18.95" customHeight="1">
      <c r="A27" s="57"/>
      <c r="C27" s="84" t="s">
        <v>176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136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134">
        <f t="shared" si="11"/>
        <v>0</v>
      </c>
      <c r="AB27" s="137">
        <f t="shared" ref="AB27:AB29" si="27">N27-AA27</f>
        <v>0</v>
      </c>
      <c r="AC27" s="47"/>
    </row>
    <row r="28" spans="1:29" s="23" customFormat="1" ht="18.95" customHeight="1">
      <c r="A28" s="57"/>
      <c r="C28" s="84" t="s">
        <v>177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3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134">
        <f t="shared" si="11"/>
        <v>0</v>
      </c>
      <c r="AB28" s="137">
        <f t="shared" si="27"/>
        <v>0</v>
      </c>
      <c r="AC28" s="47"/>
    </row>
    <row r="29" spans="1:29" s="23" customFormat="1" ht="18.95" customHeight="1">
      <c r="A29" s="57"/>
      <c r="C29" s="122" t="s">
        <v>216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136">
        <f t="shared" si="8"/>
        <v>0</v>
      </c>
      <c r="O29" s="47"/>
      <c r="P29" s="47"/>
      <c r="Q29" s="47"/>
      <c r="R29" s="47"/>
      <c r="S29" s="47"/>
      <c r="T29" s="47"/>
      <c r="U29" s="47"/>
      <c r="V29" s="47"/>
      <c r="W29" s="47"/>
      <c r="X29" s="47">
        <f t="shared" ref="X29" si="28">ROUNDUP(N29*0.2,-1)</f>
        <v>0</v>
      </c>
      <c r="Y29" s="47">
        <f t="shared" ref="Y29:Z29" si="29">Y26</f>
        <v>0</v>
      </c>
      <c r="Z29" s="47">
        <f t="shared" si="29"/>
        <v>0</v>
      </c>
      <c r="AA29" s="134">
        <f t="shared" si="11"/>
        <v>0</v>
      </c>
      <c r="AB29" s="137">
        <f t="shared" si="27"/>
        <v>0</v>
      </c>
      <c r="AC29" s="47"/>
    </row>
    <row r="30" spans="1:29" s="24" customFormat="1" ht="70.5" customHeight="1">
      <c r="A30" s="58"/>
      <c r="C30" s="125" t="s">
        <v>61</v>
      </c>
      <c r="D30" s="138">
        <f t="shared" ref="D30:AB30" si="30">SUM(D10:D29)</f>
        <v>587224</v>
      </c>
      <c r="E30" s="138">
        <f t="shared" si="30"/>
        <v>0</v>
      </c>
      <c r="F30" s="138">
        <f t="shared" si="30"/>
        <v>0</v>
      </c>
      <c r="G30" s="138">
        <f t="shared" si="30"/>
        <v>0</v>
      </c>
      <c r="H30" s="138">
        <f t="shared" si="30"/>
        <v>113569</v>
      </c>
      <c r="I30" s="138">
        <f t="shared" si="30"/>
        <v>42880</v>
      </c>
      <c r="J30" s="138">
        <f t="shared" si="30"/>
        <v>0</v>
      </c>
      <c r="K30" s="138">
        <f t="shared" si="30"/>
        <v>0</v>
      </c>
      <c r="L30" s="138">
        <f t="shared" si="30"/>
        <v>0</v>
      </c>
      <c r="M30" s="138">
        <f t="shared" si="30"/>
        <v>0</v>
      </c>
      <c r="N30" s="138">
        <f t="shared" si="30"/>
        <v>721773</v>
      </c>
      <c r="O30" s="138">
        <f t="shared" si="30"/>
        <v>52815</v>
      </c>
      <c r="P30" s="138">
        <f t="shared" si="30"/>
        <v>0</v>
      </c>
      <c r="Q30" s="138">
        <f t="shared" si="30"/>
        <v>36000</v>
      </c>
      <c r="R30" s="138">
        <f t="shared" si="30"/>
        <v>0</v>
      </c>
      <c r="S30" s="138">
        <f t="shared" si="30"/>
        <v>7167</v>
      </c>
      <c r="T30" s="138">
        <f t="shared" si="30"/>
        <v>30000</v>
      </c>
      <c r="U30" s="139">
        <f t="shared" si="30"/>
        <v>220</v>
      </c>
      <c r="V30" s="138">
        <f t="shared" si="30"/>
        <v>0</v>
      </c>
      <c r="W30" s="138">
        <f t="shared" si="30"/>
        <v>0</v>
      </c>
      <c r="X30" s="138">
        <f t="shared" si="30"/>
        <v>0</v>
      </c>
      <c r="Y30" s="138">
        <f t="shared" si="30"/>
        <v>0</v>
      </c>
      <c r="Z30" s="138">
        <f t="shared" si="30"/>
        <v>0</v>
      </c>
      <c r="AA30" s="139">
        <f t="shared" si="30"/>
        <v>126202</v>
      </c>
      <c r="AB30" s="139">
        <f t="shared" si="30"/>
        <v>595571</v>
      </c>
      <c r="AC30" s="48"/>
    </row>
    <row r="31" spans="1:29" s="7" customFormat="1">
      <c r="A31" s="5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7" customFormat="1">
      <c r="A32" s="5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7" customFormat="1">
      <c r="A33" s="5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>
      <c r="C35" s="3"/>
      <c r="D35" s="3"/>
      <c r="E35" s="30" t="s">
        <v>62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0" t="s">
        <v>63</v>
      </c>
      <c r="AC35" s="3"/>
    </row>
    <row r="36" spans="1:29"/>
    <row r="37" spans="1:29"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</row>
    <row r="38" spans="1:29"/>
    <row r="39" spans="1:29"/>
    <row r="40" spans="1:29"/>
    <row r="41" spans="1:29"/>
    <row r="42" spans="1:29" hidden="1"/>
    <row r="43" spans="1:29" hidden="1"/>
    <row r="44" spans="1:29" hidden="1"/>
    <row r="45" spans="1:29" hidden="1"/>
    <row r="46" spans="1:29" hidden="1"/>
    <row r="47" spans="1:29" hidden="1"/>
    <row r="48" spans="1:2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/>
    <row r="950"/>
    <row r="951"/>
    <row r="952"/>
  </sheetData>
  <sheetProtection password="E4D2" sheet="1" objects="1" scenarios="1"/>
  <autoFilter ref="A5:AD9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26">
    <mergeCell ref="C37:AC37"/>
    <mergeCell ref="P4:Q4"/>
    <mergeCell ref="Z4:AA4"/>
    <mergeCell ref="R4:W4"/>
    <mergeCell ref="D4:M4"/>
    <mergeCell ref="U7:W7"/>
    <mergeCell ref="K8:M8"/>
    <mergeCell ref="N8:O8"/>
    <mergeCell ref="P8:R8"/>
    <mergeCell ref="Z8:AA8"/>
    <mergeCell ref="AB8:AC8"/>
    <mergeCell ref="Z2:AA2"/>
    <mergeCell ref="C5:AC5"/>
    <mergeCell ref="C6:AC6"/>
    <mergeCell ref="AB7:AC7"/>
    <mergeCell ref="Z7:AA7"/>
    <mergeCell ref="D3:K3"/>
    <mergeCell ref="L3:M3"/>
    <mergeCell ref="X3:Y3"/>
    <mergeCell ref="N3:W3"/>
    <mergeCell ref="D2:W2"/>
    <mergeCell ref="P7:R7"/>
    <mergeCell ref="I7:J7"/>
    <mergeCell ref="K7:N7"/>
    <mergeCell ref="D7:H8"/>
    <mergeCell ref="I8:J8"/>
  </mergeCells>
  <phoneticPr fontId="0" type="noConversion"/>
  <conditionalFormatting sqref="Y11:Z29 D10:Y29">
    <cfRule type="cellIs" dxfId="3" priority="8" stopIfTrue="1" operator="equal">
      <formula>0</formula>
    </cfRule>
  </conditionalFormatting>
  <dataValidations count="3">
    <dataValidation type="list" allowBlank="1" showInputMessage="1" showErrorMessage="1" sqref="P4 Z2 L3 Z4">
      <formula1>"Yes,No"</formula1>
    </dataValidation>
    <dataValidation type="list" allowBlank="1" showInputMessage="1" showErrorMessage="1" sqref="X3:Y3">
      <formula1>"4,5,6,7,8,9,10,11,12,1,2,3"</formula1>
    </dataValidation>
    <dataValidation type="list" allowBlank="1" showInputMessage="1" showErrorMessage="1" sqref="AC4">
      <formula1>"8%,16%"</formula1>
    </dataValidation>
  </dataValidations>
  <printOptions horizontalCentered="1"/>
  <pageMargins left="0.15748031496063" right="0.15748031496063" top="0.28000000000000003" bottom="0.27559055118110198" header="0.22" footer="0.23622047244094499"/>
  <pageSetup paperSize="9" scale="72" orientation="landscape" r:id="rId3"/>
  <headerFooter alignWithMargins="0">
    <oddFooter>&amp;CRAJTEACHERS.NET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workbookViewId="0">
      <selection activeCell="B3" sqref="B3"/>
    </sheetView>
  </sheetViews>
  <sheetFormatPr defaultColWidth="0" defaultRowHeight="15.75" zeroHeight="1"/>
  <cols>
    <col min="1" max="1" width="52.7109375" style="1" customWidth="1" collapsed="1"/>
    <col min="2" max="2" width="14.42578125" style="1" customWidth="1" collapsed="1"/>
    <col min="3" max="3" width="0.5703125" style="1" customWidth="1" collapsed="1"/>
    <col min="4" max="4" width="68.28515625" style="1" customWidth="1" collapsed="1"/>
    <col min="5" max="5" width="14.42578125" style="1" customWidth="1" collapsed="1"/>
    <col min="6" max="6" width="17.5703125" style="53" customWidth="1" collapsed="1"/>
    <col min="7" max="7" width="15.140625" style="1" hidden="1" customWidth="1" collapsed="1"/>
    <col min="8" max="8" width="7.28515625" style="1" hidden="1" customWidth="1" collapsed="1"/>
    <col min="9" max="9" width="5.7109375" style="1" hidden="1" customWidth="1" collapsed="1"/>
    <col min="10" max="11" width="7.140625" style="1" hidden="1" customWidth="1" collapsed="1"/>
    <col min="12" max="12" width="7.7109375" style="1" hidden="1" customWidth="1" collapsed="1"/>
    <col min="13" max="13" width="8.28515625" style="1" hidden="1" customWidth="1" collapsed="1"/>
    <col min="14" max="14" width="7.85546875" style="1" hidden="1" customWidth="1" collapsed="1"/>
    <col min="15" max="16" width="5.140625" style="1" hidden="1" customWidth="1" collapsed="1"/>
    <col min="17" max="17" width="7.5703125" style="1" hidden="1" customWidth="1" collapsed="1"/>
    <col min="18" max="18" width="7.140625" style="1" hidden="1" customWidth="1" collapsed="1"/>
    <col min="19" max="19" width="5.140625" style="1" hidden="1" customWidth="1" collapsed="1"/>
    <col min="20" max="20" width="8.85546875" style="1" hidden="1" customWidth="1" collapsed="1"/>
    <col min="21" max="21" width="0" style="1" hidden="1" customWidth="1" collapsed="1"/>
    <col min="22" max="22" width="5.140625" style="1" hidden="1" customWidth="1" collapsed="1"/>
    <col min="23" max="23" width="5.710937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40625" style="1" hidden="1" customWidth="1" collapsed="1"/>
    <col min="28" max="29" width="11.140625" style="1" hidden="1" customWidth="1" collapsed="1"/>
    <col min="30" max="30" width="5.28515625" style="1" hidden="1" customWidth="1" collapsed="1"/>
    <col min="31" max="31" width="8.28515625" style="1" hidden="1" customWidth="1" collapsed="1"/>
    <col min="32" max="33" width="5.28515625" style="1" hidden="1" customWidth="1" collapsed="1"/>
    <col min="34" max="34" width="8.28515625" style="1" hidden="1" customWidth="1" collapsed="1"/>
    <col min="35" max="35" width="5.140625" style="1" hidden="1" customWidth="1" collapsed="1"/>
    <col min="36" max="37" width="9.5703125" style="1" hidden="1" customWidth="1" collapsed="1"/>
    <col min="38" max="38" width="10.5703125" style="1" hidden="1" customWidth="1" collapsed="1"/>
    <col min="39" max="39" width="5.140625" style="1" hidden="1" customWidth="1" collapsed="1"/>
    <col min="40" max="40" width="7.28515625" style="1" hidden="1" customWidth="1" collapsed="1"/>
    <col min="41" max="41" width="7.7109375" style="1" hidden="1" customWidth="1" collapsed="1"/>
    <col min="42" max="42" width="5.140625" style="1" hidden="1" customWidth="1" collapsed="1"/>
    <col min="43" max="43" width="8" style="1" hidden="1" customWidth="1" collapsed="1"/>
    <col min="44" max="44" width="11.42578125" style="1" hidden="1" customWidth="1" collapsed="1"/>
    <col min="45" max="45" width="14.28515625" style="1" hidden="1" customWidth="1" collapsed="1"/>
    <col min="46" max="46" width="9" style="1" hidden="1" customWidth="1" collapsed="1"/>
    <col min="47" max="47" width="5.85546875" style="1" hidden="1" customWidth="1" collapsed="1"/>
    <col min="48" max="48" width="7.5703125" style="1" hidden="1" customWidth="1" collapsed="1"/>
    <col min="49" max="49" width="13.140625" style="1" hidden="1" customWidth="1" collapsed="1"/>
    <col min="50" max="50" width="7.5703125" style="1" hidden="1" customWidth="1" collapsed="1"/>
    <col min="51" max="51" width="13.140625" style="1" hidden="1" customWidth="1" collapsed="1"/>
    <col min="52" max="52" width="7.5703125" style="1" hidden="1" customWidth="1" collapsed="1"/>
    <col min="53" max="53" width="13.140625" style="1" hidden="1" customWidth="1" collapsed="1"/>
    <col min="54" max="54" width="7.5703125" style="1" hidden="1" customWidth="1" collapsed="1"/>
    <col min="55" max="55" width="13.140625" style="1" hidden="1" customWidth="1" collapsed="1"/>
    <col min="56" max="56" width="7.5703125" style="1" hidden="1" customWidth="1" collapsed="1"/>
    <col min="57" max="57" width="13.140625" style="1" hidden="1" customWidth="1" collapsed="1"/>
    <col min="58" max="58" width="7.5703125" style="1" hidden="1" customWidth="1" collapsed="1"/>
    <col min="59" max="59" width="13.140625" style="1" hidden="1" customWidth="1" collapsed="1"/>
    <col min="60" max="60" width="7.5703125" style="1" hidden="1" customWidth="1" collapsed="1"/>
    <col min="61" max="61" width="13.140625" style="1" hidden="1" customWidth="1" collapsed="1"/>
    <col min="62" max="62" width="7.5703125" style="1" hidden="1" customWidth="1" collapsed="1"/>
    <col min="63" max="63" width="13.140625" style="1" hidden="1" customWidth="1" collapsed="1"/>
    <col min="64" max="64" width="5.140625" style="1" hidden="1" customWidth="1" collapsed="1"/>
    <col min="65" max="65" width="7.140625" style="1" hidden="1" customWidth="1" collapsed="1"/>
    <col min="66" max="66" width="6.7109375" style="1" hidden="1" customWidth="1" collapsed="1"/>
    <col min="67" max="67" width="5.140625" style="1" hidden="1" customWidth="1" collapsed="1"/>
    <col min="68" max="69" width="7.7109375" style="1" hidden="1" customWidth="1" collapsed="1"/>
    <col min="70" max="71" width="7.28515625" style="1" hidden="1" customWidth="1" collapsed="1"/>
    <col min="72" max="72" width="9.7109375" style="1" hidden="1" customWidth="1" collapsed="1"/>
    <col min="73" max="73" width="9.28515625" style="1" hidden="1" customWidth="1" collapsed="1"/>
    <col min="74" max="74" width="7.7109375" style="1" hidden="1" customWidth="1" collapsed="1"/>
    <col min="75" max="75" width="7.85546875" style="1" hidden="1" customWidth="1" collapsed="1"/>
    <col min="76" max="76" width="9.28515625" style="1" hidden="1" customWidth="1" collapsed="1"/>
    <col min="77" max="77" width="10" style="1" hidden="1" customWidth="1" collapsed="1"/>
    <col min="78" max="78" width="7" style="1" hidden="1" customWidth="1" collapsed="1"/>
    <col min="79" max="79" width="7.5703125" style="1" hidden="1" customWidth="1" collapsed="1"/>
    <col min="80" max="80" width="9.28515625" style="1" hidden="1" customWidth="1" collapsed="1"/>
    <col min="81" max="81" width="9" style="1" hidden="1" customWidth="1" collapsed="1"/>
    <col min="82" max="82" width="7.7109375" style="1" hidden="1" customWidth="1" collapsed="1"/>
    <col min="83" max="83" width="5.140625" style="1" hidden="1" customWidth="1" collapsed="1"/>
    <col min="84" max="84" width="7.28515625" style="1" hidden="1" customWidth="1" collapsed="1"/>
    <col min="85" max="85" width="6.5703125" style="1" hidden="1" customWidth="1" collapsed="1"/>
    <col min="86" max="86" width="6.28515625" style="1" hidden="1" customWidth="1" collapsed="1"/>
    <col min="87" max="87" width="6.42578125" style="1" hidden="1" customWidth="1" collapsed="1"/>
    <col min="88" max="88" width="5.140625" style="1" hidden="1" customWidth="1" collapsed="1"/>
    <col min="89" max="89" width="6.28515625" style="1" hidden="1" customWidth="1" collapsed="1"/>
    <col min="90" max="94" width="5.28515625" style="1" hidden="1" customWidth="1" collapsed="1"/>
    <col min="95" max="95" width="5.140625" style="1" hidden="1" customWidth="1" collapsed="1"/>
    <col min="96" max="96" width="7.5703125" style="1" hidden="1" customWidth="1" collapsed="1"/>
    <col min="97" max="97" width="7.28515625" style="1" hidden="1" customWidth="1" collapsed="1"/>
    <col min="98" max="98" width="12.85546875" style="1" hidden="1" customWidth="1" collapsed="1"/>
    <col min="99" max="99" width="7.28515625" style="1" hidden="1" customWidth="1" collapsed="1"/>
    <col min="100" max="100" width="12.85546875" style="1" hidden="1" customWidth="1" collapsed="1"/>
    <col min="101" max="101" width="9.85546875" style="1" hidden="1" customWidth="1" collapsed="1"/>
    <col min="102" max="102" width="10" style="1" hidden="1" customWidth="1" collapsed="1"/>
    <col min="103" max="103" width="13.42578125" style="1" hidden="1" customWidth="1" collapsed="1"/>
    <col min="104" max="104" width="10.140625" style="1" hidden="1" customWidth="1" collapsed="1"/>
    <col min="105" max="105" width="8.42578125" style="1" hidden="1" customWidth="1" collapsed="1"/>
    <col min="106" max="106" width="13.5703125" style="1" hidden="1" customWidth="1" collapsed="1"/>
    <col min="107" max="107" width="5.140625" style="1" hidden="1" customWidth="1" collapsed="1"/>
    <col min="108" max="108" width="8" style="1" hidden="1" customWidth="1" collapsed="1"/>
    <col min="109" max="109" width="11.42578125" style="1" hidden="1" customWidth="1" collapsed="1"/>
    <col min="110" max="110" width="7.7109375" style="1" hidden="1" customWidth="1" collapsed="1"/>
    <col min="111" max="111" width="7.5703125" style="1" hidden="1" customWidth="1" collapsed="1"/>
    <col min="112" max="113" width="5.140625" style="1" hidden="1" customWidth="1" collapsed="1"/>
    <col min="114" max="114" width="14.140625" style="1" hidden="1" customWidth="1" collapsed="1"/>
    <col min="115" max="115" width="15.5703125" style="1" hidden="1" customWidth="1" collapsed="1"/>
    <col min="116" max="116" width="6.85546875" style="1" hidden="1" customWidth="1" collapsed="1"/>
    <col min="117" max="16384" width="0" style="1" hidden="1" collapsed="1"/>
  </cols>
  <sheetData>
    <row r="1" spans="1:122" ht="30.75" customHeight="1">
      <c r="A1" s="165" t="s">
        <v>153</v>
      </c>
      <c r="B1" s="165"/>
      <c r="C1" s="165"/>
      <c r="D1" s="165"/>
      <c r="E1" s="165"/>
      <c r="F1" s="165"/>
    </row>
    <row r="2" spans="1:122" ht="27.75" customHeight="1">
      <c r="A2" s="166" t="str">
        <f>'Master Data'!D7&amp; " ,   " &amp;'Master Data'!K7&amp;"                         PAN-  "&amp;'Master Data'!P7</f>
        <v>PARMANAND MEGHWAL ,   SR TEACHER                         PAN-  ASQPM6311G</v>
      </c>
      <c r="B2" s="166"/>
      <c r="C2" s="166"/>
      <c r="D2" s="166"/>
      <c r="E2" s="166"/>
      <c r="F2" s="166"/>
    </row>
    <row r="3" spans="1:122" ht="15" customHeight="1">
      <c r="A3" s="100" t="s">
        <v>123</v>
      </c>
      <c r="B3" s="101">
        <v>42880</v>
      </c>
      <c r="C3" s="102"/>
      <c r="D3" s="103" t="s">
        <v>181</v>
      </c>
      <c r="E3" s="101">
        <v>0</v>
      </c>
      <c r="F3" s="96" t="s">
        <v>202</v>
      </c>
      <c r="DR3" s="5" t="s">
        <v>18</v>
      </c>
    </row>
    <row r="4" spans="1:122" ht="16.5">
      <c r="A4" s="106" t="s">
        <v>124</v>
      </c>
      <c r="B4" s="107">
        <v>0</v>
      </c>
      <c r="C4" s="108"/>
      <c r="D4" s="109" t="s">
        <v>162</v>
      </c>
      <c r="E4" s="107">
        <v>0</v>
      </c>
      <c r="F4" s="96">
        <f>'Master Data'!N30-'Master Data'!I30</f>
        <v>678893</v>
      </c>
      <c r="DR4" s="5"/>
    </row>
    <row r="5" spans="1:122" ht="15" customHeight="1">
      <c r="A5" s="100" t="s">
        <v>125</v>
      </c>
      <c r="B5" s="101">
        <v>0</v>
      </c>
      <c r="C5" s="102"/>
      <c r="D5" s="104" t="s">
        <v>156</v>
      </c>
      <c r="E5" s="101">
        <v>0</v>
      </c>
      <c r="F5" s="97" t="s">
        <v>26</v>
      </c>
      <c r="DR5" s="5"/>
    </row>
    <row r="6" spans="1:122" ht="17.25" customHeight="1">
      <c r="A6" s="110" t="s">
        <v>126</v>
      </c>
      <c r="B6" s="107">
        <v>0</v>
      </c>
      <c r="C6" s="108"/>
      <c r="D6" s="109" t="s">
        <v>165</v>
      </c>
      <c r="E6" s="107">
        <v>0</v>
      </c>
      <c r="F6" s="97">
        <f>'Tax Calculation (Old)'!Q46</f>
        <v>509860</v>
      </c>
      <c r="DR6" s="5"/>
    </row>
    <row r="7" spans="1:122" ht="15" customHeight="1">
      <c r="A7" s="100" t="s">
        <v>127</v>
      </c>
      <c r="B7" s="101">
        <v>0</v>
      </c>
      <c r="C7" s="102"/>
      <c r="D7" s="105" t="s">
        <v>166</v>
      </c>
      <c r="E7" s="101">
        <v>0</v>
      </c>
      <c r="F7" s="98" t="s">
        <v>69</v>
      </c>
      <c r="DR7" s="5"/>
    </row>
    <row r="8" spans="1:122" ht="15" customHeight="1">
      <c r="A8" s="111" t="s">
        <v>128</v>
      </c>
      <c r="B8" s="112">
        <v>0</v>
      </c>
      <c r="C8" s="108"/>
      <c r="D8" s="109" t="s">
        <v>167</v>
      </c>
      <c r="E8" s="112">
        <v>0</v>
      </c>
      <c r="F8" s="99">
        <f>'Master Data'!X30</f>
        <v>0</v>
      </c>
      <c r="DR8" s="5"/>
    </row>
    <row r="9" spans="1:122" ht="15" customHeight="1">
      <c r="A9" s="100" t="s">
        <v>129</v>
      </c>
      <c r="B9" s="101">
        <v>0</v>
      </c>
      <c r="C9" s="102"/>
      <c r="D9" s="104" t="s">
        <v>168</v>
      </c>
      <c r="E9" s="101">
        <v>0</v>
      </c>
      <c r="F9" s="167" t="s">
        <v>109</v>
      </c>
      <c r="DR9" s="5"/>
    </row>
    <row r="10" spans="1:122" ht="15" customHeight="1">
      <c r="A10" s="111" t="s">
        <v>130</v>
      </c>
      <c r="B10" s="112">
        <v>0</v>
      </c>
      <c r="C10" s="108"/>
      <c r="D10" s="113" t="s">
        <v>211</v>
      </c>
      <c r="E10" s="112">
        <v>0</v>
      </c>
      <c r="F10" s="167"/>
      <c r="DR10" s="5" t="s">
        <v>19</v>
      </c>
    </row>
    <row r="11" spans="1:122" ht="15" customHeight="1">
      <c r="A11" s="100" t="s">
        <v>131</v>
      </c>
      <c r="B11" s="101">
        <v>0</v>
      </c>
      <c r="C11" s="102"/>
      <c r="D11" s="104" t="s">
        <v>169</v>
      </c>
      <c r="E11" s="101">
        <v>0</v>
      </c>
      <c r="F11" s="167"/>
      <c r="DR11" s="5" t="s">
        <v>21</v>
      </c>
    </row>
    <row r="12" spans="1:122" ht="15" customHeight="1">
      <c r="A12" s="111" t="s">
        <v>132</v>
      </c>
      <c r="B12" s="112">
        <v>0</v>
      </c>
      <c r="C12" s="108"/>
      <c r="D12" s="113" t="s">
        <v>170</v>
      </c>
      <c r="E12" s="112">
        <v>0</v>
      </c>
      <c r="F12" s="97">
        <f>'Tax Calculation (Old)'!Q30</f>
        <v>119035</v>
      </c>
      <c r="DR12" s="5" t="s">
        <v>4</v>
      </c>
    </row>
    <row r="13" spans="1:122" ht="15" customHeight="1">
      <c r="A13" s="100" t="s">
        <v>133</v>
      </c>
      <c r="B13" s="101">
        <v>0</v>
      </c>
      <c r="C13" s="102"/>
      <c r="D13" s="104" t="s">
        <v>171</v>
      </c>
      <c r="E13" s="101">
        <v>0</v>
      </c>
      <c r="F13" s="97"/>
      <c r="DR13" s="5"/>
    </row>
    <row r="14" spans="1:122" ht="15" customHeight="1">
      <c r="A14" s="111" t="s">
        <v>134</v>
      </c>
      <c r="B14" s="112">
        <v>0</v>
      </c>
      <c r="C14" s="108"/>
      <c r="D14" s="113" t="s">
        <v>163</v>
      </c>
      <c r="E14" s="112">
        <v>0</v>
      </c>
      <c r="F14" s="168" t="s">
        <v>8</v>
      </c>
      <c r="DR14" s="5" t="s">
        <v>0</v>
      </c>
    </row>
    <row r="15" spans="1:122" ht="15" customHeight="1">
      <c r="A15" s="100" t="s">
        <v>135</v>
      </c>
      <c r="B15" s="101">
        <v>0</v>
      </c>
      <c r="C15" s="102"/>
      <c r="D15" s="104" t="s">
        <v>172</v>
      </c>
      <c r="E15" s="101">
        <v>0</v>
      </c>
      <c r="F15" s="168"/>
      <c r="DR15" s="5" t="s">
        <v>21</v>
      </c>
    </row>
    <row r="16" spans="1:122" ht="15" customHeight="1">
      <c r="A16" s="111" t="s">
        <v>136</v>
      </c>
      <c r="B16" s="112">
        <v>0</v>
      </c>
      <c r="C16" s="108"/>
      <c r="D16" s="113" t="s">
        <v>173</v>
      </c>
      <c r="E16" s="112">
        <v>0</v>
      </c>
      <c r="F16" s="168"/>
      <c r="DR16" s="5" t="s">
        <v>22</v>
      </c>
    </row>
    <row r="17" spans="1:122" ht="15" customHeight="1">
      <c r="A17" s="100" t="s">
        <v>137</v>
      </c>
      <c r="B17" s="101">
        <v>0</v>
      </c>
      <c r="C17" s="102"/>
      <c r="D17" s="104" t="s">
        <v>174</v>
      </c>
      <c r="E17" s="101">
        <v>0</v>
      </c>
      <c r="F17" s="171">
        <f>ROUND((F4*10%+F19),0)</f>
        <v>110769</v>
      </c>
      <c r="DR17" s="5" t="s">
        <v>5</v>
      </c>
    </row>
    <row r="18" spans="1:122" ht="15" customHeight="1">
      <c r="A18" s="111" t="s">
        <v>155</v>
      </c>
      <c r="B18" s="112">
        <v>0</v>
      </c>
      <c r="C18" s="108"/>
      <c r="D18" s="113" t="s">
        <v>164</v>
      </c>
      <c r="E18" s="112">
        <v>0</v>
      </c>
      <c r="F18" s="171"/>
      <c r="DR18" s="5" t="s">
        <v>23</v>
      </c>
    </row>
    <row r="19" spans="1:122" ht="15" customHeight="1">
      <c r="A19" s="170" t="str">
        <f>'Tax Calculation (Old)'!B62</f>
        <v>Income Tax Payable</v>
      </c>
      <c r="B19" s="170"/>
      <c r="C19" s="82"/>
      <c r="D19" s="83">
        <f>'Tax Calculation (Old)'!Q62</f>
        <v>15051</v>
      </c>
      <c r="E19" s="114" t="s">
        <v>154</v>
      </c>
      <c r="F19" s="95">
        <f>'Master Data'!I30</f>
        <v>42880</v>
      </c>
      <c r="DR19" s="5" t="s">
        <v>7</v>
      </c>
    </row>
    <row r="20" spans="1:122" ht="15" customHeight="1">
      <c r="A20" s="169" t="str">
        <f>"Total Rebate of (US 80C, 80CCC,80CCD(1)) =  "&amp;'Tax Calculation (Old)'!Q30</f>
        <v>Total Rebate of (US 80C, 80CCC,80CCD(1)) =  119035</v>
      </c>
      <c r="B20" s="169"/>
      <c r="C20" s="2"/>
      <c r="D20" s="54" t="str">
        <f>"Investable Amount = "&amp;(150000-'Tax Calculation (Old)'!Q30)</f>
        <v>Investable Amount = 30965</v>
      </c>
      <c r="E20" s="2"/>
      <c r="F20" s="2"/>
      <c r="DR20" s="5" t="s">
        <v>20</v>
      </c>
    </row>
    <row r="21" spans="1:122" ht="48" customHeight="1">
      <c r="A21" s="163" t="s">
        <v>212</v>
      </c>
      <c r="B21" s="164"/>
      <c r="C21" s="164"/>
      <c r="D21" s="164"/>
      <c r="E21" s="164"/>
      <c r="F21" s="164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sheetProtection password="E4D2" sheet="1" objects="1" scenarios="1"/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1:F21"/>
    <mergeCell ref="A1:F1"/>
    <mergeCell ref="A2:F2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pageMargins left="0.5" right="0.5" top="0.2" bottom="0.2" header="0" footer="0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R78"/>
  <sheetViews>
    <sheetView showGridLines="0" topLeftCell="A43" workbookViewId="0">
      <selection activeCell="Q31" sqref="Q31"/>
    </sheetView>
  </sheetViews>
  <sheetFormatPr defaultColWidth="0" defaultRowHeight="15.75" zeroHeight="1"/>
  <cols>
    <col min="1" max="1" width="3" customWidth="1" collapsed="1"/>
    <col min="2" max="2" width="2.42578125" style="15" customWidth="1" collapsed="1"/>
    <col min="3" max="3" width="4.5703125" style="14" customWidth="1" collapsed="1"/>
    <col min="4" max="5" width="9.140625" style="14" customWidth="1" collapsed="1"/>
    <col min="6" max="6" width="3.85546875" style="14" customWidth="1" collapsed="1"/>
    <col min="7" max="7" width="4.140625" style="14" customWidth="1" collapsed="1"/>
    <col min="8" max="8" width="2.7109375" style="14" customWidth="1" collapsed="1"/>
    <col min="9" max="9" width="10.5703125" style="14" customWidth="1" collapsed="1"/>
    <col min="10" max="10" width="5.140625" style="14" customWidth="1" collapsed="1"/>
    <col min="11" max="11" width="10.28515625" style="14" customWidth="1" collapsed="1"/>
    <col min="12" max="12" width="11.42578125" style="14" customWidth="1" collapsed="1"/>
    <col min="13" max="13" width="9.42578125" style="14" customWidth="1" collapsed="1"/>
    <col min="14" max="14" width="3.5703125" style="14" customWidth="1" collapsed="1"/>
    <col min="15" max="15" width="11" style="14" customWidth="1" collapsed="1"/>
    <col min="16" max="16" width="2.7109375" style="16" bestFit="1" customWidth="1" collapsed="1"/>
    <col min="17" max="17" width="18" style="17" customWidth="1" collapsed="1"/>
    <col min="18" max="18" width="2.42578125" customWidth="1" collapsed="1"/>
    <col min="19" max="16384" width="9.140625" hidden="1" collapsed="1"/>
  </cols>
  <sheetData>
    <row r="1" spans="2:17" s="20" customFormat="1" ht="18.75">
      <c r="B1" s="241" t="str">
        <f>'Master Data'!C5</f>
        <v>GOVT SR. SEC SCHOOL DILOD HATHI, ATRU BARAN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2:17" s="20" customFormat="1" ht="21" thickBot="1">
      <c r="B2" s="242" t="s">
        <v>193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2:17" s="20" customFormat="1" ht="15" customHeight="1">
      <c r="B3" s="39">
        <v>1</v>
      </c>
      <c r="C3" s="243" t="s">
        <v>10</v>
      </c>
      <c r="D3" s="244"/>
      <c r="E3" s="250" t="str">
        <f>'Master Data'!D7</f>
        <v>PARMANAND MEGHWAL</v>
      </c>
      <c r="F3" s="250"/>
      <c r="G3" s="250"/>
      <c r="H3" s="250"/>
      <c r="I3" s="250"/>
      <c r="J3" s="250"/>
      <c r="K3" s="40" t="s">
        <v>29</v>
      </c>
      <c r="L3" s="251" t="str">
        <f>'Master Data'!K7</f>
        <v>SR TEACHER</v>
      </c>
      <c r="M3" s="251"/>
      <c r="N3" s="251"/>
      <c r="O3" s="41" t="s">
        <v>28</v>
      </c>
      <c r="P3" s="245" t="str">
        <f>IF('Master Data'!P7="","",'Master Data'!P7)</f>
        <v>ASQPM6311G</v>
      </c>
      <c r="Q3" s="246"/>
    </row>
    <row r="4" spans="2:17" s="20" customFormat="1" ht="15" customHeight="1">
      <c r="B4" s="31">
        <v>2</v>
      </c>
      <c r="C4" s="247" t="s">
        <v>194</v>
      </c>
      <c r="D4" s="247"/>
      <c r="E4" s="174"/>
      <c r="F4" s="174"/>
      <c r="G4" s="174"/>
      <c r="H4" s="174"/>
      <c r="I4" s="174"/>
      <c r="J4" s="174"/>
      <c r="K4" s="247"/>
      <c r="L4" s="174"/>
      <c r="M4" s="174"/>
      <c r="N4" s="174"/>
      <c r="O4" s="247"/>
      <c r="P4" s="75" t="s">
        <v>11</v>
      </c>
      <c r="Q4" s="32">
        <f>IF('Master Data'!Z2="No",'Master Data'!N30,('Master Data'!N30+'Master Data'!O30))</f>
        <v>721773</v>
      </c>
    </row>
    <row r="5" spans="2:17" s="20" customFormat="1" ht="15" customHeight="1">
      <c r="B5" s="31">
        <v>3</v>
      </c>
      <c r="C5" s="174" t="s">
        <v>118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8" t="s">
        <v>11</v>
      </c>
      <c r="Q5" s="33">
        <f>'Other Deduction'!B3</f>
        <v>42880</v>
      </c>
    </row>
    <row r="6" spans="2:17" s="20" customFormat="1" ht="15" customHeight="1">
      <c r="B6" s="31">
        <v>4</v>
      </c>
      <c r="C6" s="182" t="s">
        <v>30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28" t="s">
        <v>11</v>
      </c>
      <c r="Q6" s="33">
        <f>Q4-Q5</f>
        <v>678893</v>
      </c>
    </row>
    <row r="7" spans="2:17" s="20" customFormat="1" ht="15" customHeight="1">
      <c r="B7" s="186">
        <v>5</v>
      </c>
      <c r="C7" s="183" t="s">
        <v>72</v>
      </c>
      <c r="D7" s="184"/>
      <c r="E7" s="184"/>
      <c r="F7" s="184"/>
      <c r="G7" s="184"/>
      <c r="H7" s="184"/>
      <c r="I7" s="184"/>
      <c r="J7" s="184"/>
      <c r="K7" s="184"/>
      <c r="L7" s="184"/>
      <c r="M7" s="249">
        <f>'Other Deduction'!B4</f>
        <v>0</v>
      </c>
      <c r="N7" s="249"/>
      <c r="O7" s="249"/>
      <c r="P7" s="232"/>
      <c r="Q7" s="233"/>
    </row>
    <row r="8" spans="2:17" s="20" customFormat="1" ht="15" customHeight="1">
      <c r="B8" s="187"/>
      <c r="C8" s="183" t="s">
        <v>73</v>
      </c>
      <c r="D8" s="184"/>
      <c r="E8" s="184"/>
      <c r="F8" s="184"/>
      <c r="G8" s="184"/>
      <c r="H8" s="184"/>
      <c r="I8" s="184"/>
      <c r="J8" s="184"/>
      <c r="K8" s="184"/>
      <c r="L8" s="184"/>
      <c r="M8" s="249">
        <f>'Other Deduction'!B5</f>
        <v>0</v>
      </c>
      <c r="N8" s="249"/>
      <c r="O8" s="249"/>
      <c r="P8" s="236"/>
      <c r="Q8" s="237"/>
    </row>
    <row r="9" spans="2:17" s="20" customFormat="1" ht="15" customHeight="1">
      <c r="B9" s="188"/>
      <c r="C9" s="183" t="s">
        <v>195</v>
      </c>
      <c r="D9" s="184"/>
      <c r="E9" s="184"/>
      <c r="F9" s="184"/>
      <c r="G9" s="184"/>
      <c r="H9" s="184"/>
      <c r="I9" s="184"/>
      <c r="J9" s="184"/>
      <c r="K9" s="184"/>
      <c r="L9" s="184"/>
      <c r="M9" s="249">
        <f>IF(Q6&lt;50000,Q6,50000)</f>
        <v>50000</v>
      </c>
      <c r="N9" s="249"/>
      <c r="O9" s="249"/>
      <c r="P9" s="28" t="s">
        <v>11</v>
      </c>
      <c r="Q9" s="33">
        <f>SUM(M7:O9)</f>
        <v>50000</v>
      </c>
    </row>
    <row r="10" spans="2:17" s="20" customFormat="1" ht="15" customHeight="1">
      <c r="B10" s="31">
        <v>6</v>
      </c>
      <c r="C10" s="248" t="s">
        <v>12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8" t="s">
        <v>11</v>
      </c>
      <c r="Q10" s="33">
        <f>Q6-Q9</f>
        <v>628893</v>
      </c>
    </row>
    <row r="11" spans="2:17" s="20" customFormat="1" ht="15" customHeight="1">
      <c r="B11" s="252">
        <v>7</v>
      </c>
      <c r="C11" s="174" t="s">
        <v>31</v>
      </c>
      <c r="D11" s="174"/>
      <c r="E11" s="174"/>
      <c r="F11" s="174"/>
      <c r="G11" s="174"/>
      <c r="H11" s="174"/>
      <c r="I11" s="174"/>
      <c r="J11" s="174"/>
      <c r="K11" s="248" t="s">
        <v>32</v>
      </c>
      <c r="L11" s="248"/>
      <c r="M11" s="249">
        <f>'Other Deduction'!B6</f>
        <v>0</v>
      </c>
      <c r="N11" s="249"/>
      <c r="O11" s="249"/>
      <c r="P11" s="264"/>
      <c r="Q11" s="265"/>
    </row>
    <row r="12" spans="2:17" s="20" customFormat="1" ht="15" customHeight="1">
      <c r="B12" s="252"/>
      <c r="C12" s="259" t="s">
        <v>33</v>
      </c>
      <c r="D12" s="260"/>
      <c r="E12" s="256" t="s">
        <v>87</v>
      </c>
      <c r="F12" s="257"/>
      <c r="G12" s="258"/>
      <c r="H12" s="266" t="s">
        <v>13</v>
      </c>
      <c r="I12" s="266"/>
      <c r="J12" s="266"/>
      <c r="K12" s="248" t="s">
        <v>34</v>
      </c>
      <c r="L12" s="248"/>
      <c r="M12" s="248" t="s">
        <v>64</v>
      </c>
      <c r="N12" s="248"/>
      <c r="O12" s="248"/>
      <c r="P12" s="264"/>
      <c r="Q12" s="265"/>
    </row>
    <row r="13" spans="2:17" s="20" customFormat="1" ht="15" customHeight="1">
      <c r="B13" s="252"/>
      <c r="C13" s="261"/>
      <c r="D13" s="262"/>
      <c r="E13" s="253">
        <f>ROUND(M11*0.3,0)</f>
        <v>0</v>
      </c>
      <c r="F13" s="254"/>
      <c r="G13" s="255"/>
      <c r="H13" s="249">
        <f>IF(('Master Data'!W30+'Other Deduction'!B9)&gt;200000,200000,('Master Data'!W30+'Other Deduction'!B9))</f>
        <v>0</v>
      </c>
      <c r="I13" s="249"/>
      <c r="J13" s="249"/>
      <c r="K13" s="249">
        <f>'Other Deduction'!B7</f>
        <v>0</v>
      </c>
      <c r="L13" s="249"/>
      <c r="M13" s="249">
        <f>E13+H13+K13</f>
        <v>0</v>
      </c>
      <c r="N13" s="249"/>
      <c r="O13" s="249"/>
      <c r="P13" s="264"/>
      <c r="Q13" s="265"/>
    </row>
    <row r="14" spans="2:17" s="20" customFormat="1" ht="15" customHeight="1">
      <c r="B14" s="31"/>
      <c r="C14" s="248" t="s">
        <v>35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8" t="s">
        <v>11</v>
      </c>
      <c r="Q14" s="33">
        <f>M11-M13</f>
        <v>0</v>
      </c>
    </row>
    <row r="15" spans="2:17" s="20" customFormat="1" ht="15" customHeight="1">
      <c r="B15" s="31">
        <v>8</v>
      </c>
      <c r="C15" s="248" t="s">
        <v>65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8" t="s">
        <v>11</v>
      </c>
      <c r="Q15" s="33">
        <f>Q10+Q14</f>
        <v>628893</v>
      </c>
    </row>
    <row r="16" spans="2:17" s="20" customFormat="1" ht="15" customHeight="1">
      <c r="B16" s="31">
        <v>9</v>
      </c>
      <c r="C16" s="174" t="s">
        <v>27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28" t="s">
        <v>11</v>
      </c>
      <c r="Q16" s="33">
        <f>'Other Deduction'!E3+'Other Deduction'!E4</f>
        <v>0</v>
      </c>
    </row>
    <row r="17" spans="2:17" s="20" customFormat="1" ht="15" customHeight="1">
      <c r="B17" s="31">
        <v>10</v>
      </c>
      <c r="C17" s="174" t="s">
        <v>36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28" t="s">
        <v>11</v>
      </c>
      <c r="Q17" s="32">
        <f>Q15+Q16</f>
        <v>628893</v>
      </c>
    </row>
    <row r="18" spans="2:17" s="20" customFormat="1" ht="15" customHeight="1">
      <c r="B18" s="186">
        <v>11</v>
      </c>
      <c r="C18" s="175" t="s">
        <v>119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89"/>
    </row>
    <row r="19" spans="2:17" s="20" customFormat="1" ht="15" customHeight="1">
      <c r="B19" s="187"/>
      <c r="C19" s="224" t="s">
        <v>103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</row>
    <row r="20" spans="2:17" s="20" customFormat="1" ht="15" customHeight="1">
      <c r="B20" s="187"/>
      <c r="C20" s="8" t="s">
        <v>37</v>
      </c>
      <c r="D20" s="174" t="s">
        <v>74</v>
      </c>
      <c r="E20" s="174"/>
      <c r="F20" s="174"/>
      <c r="G20" s="174"/>
      <c r="H20" s="28" t="s">
        <v>11</v>
      </c>
      <c r="I20" s="18">
        <f>'Master Data'!Q30</f>
        <v>36000</v>
      </c>
      <c r="J20" s="8" t="s">
        <v>38</v>
      </c>
      <c r="K20" s="226" t="s">
        <v>111</v>
      </c>
      <c r="L20" s="226"/>
      <c r="M20" s="226"/>
      <c r="N20" s="28" t="s">
        <v>11</v>
      </c>
      <c r="O20" s="88">
        <f>IF('Master Data'!Z2="Yes",'Master Data'!O30,0)</f>
        <v>0</v>
      </c>
      <c r="P20" s="232"/>
      <c r="Q20" s="233"/>
    </row>
    <row r="21" spans="2:17" s="20" customFormat="1" ht="15" customHeight="1">
      <c r="B21" s="187"/>
      <c r="C21" s="8" t="s">
        <v>39</v>
      </c>
      <c r="D21" s="174" t="s">
        <v>75</v>
      </c>
      <c r="E21" s="174"/>
      <c r="F21" s="174"/>
      <c r="G21" s="174"/>
      <c r="H21" s="28" t="s">
        <v>11</v>
      </c>
      <c r="I21" s="18">
        <f>'Master Data'!T30+'Other Deduction'!B10</f>
        <v>30000</v>
      </c>
      <c r="J21" s="8" t="s">
        <v>40</v>
      </c>
      <c r="K21" s="227" t="s">
        <v>41</v>
      </c>
      <c r="L21" s="227"/>
      <c r="M21" s="227"/>
      <c r="N21" s="28" t="s">
        <v>11</v>
      </c>
      <c r="O21" s="18">
        <f>'Other Deduction'!E6</f>
        <v>0</v>
      </c>
      <c r="P21" s="234"/>
      <c r="Q21" s="235"/>
    </row>
    <row r="22" spans="2:17" s="20" customFormat="1" ht="15" customHeight="1">
      <c r="B22" s="187"/>
      <c r="C22" s="8" t="s">
        <v>42</v>
      </c>
      <c r="D22" s="174" t="s">
        <v>76</v>
      </c>
      <c r="E22" s="174"/>
      <c r="F22" s="174"/>
      <c r="G22" s="174"/>
      <c r="H22" s="28" t="s">
        <v>11</v>
      </c>
      <c r="I22" s="18">
        <f>'Other Deduction'!B14</f>
        <v>0</v>
      </c>
      <c r="J22" s="8" t="s">
        <v>43</v>
      </c>
      <c r="K22" s="227" t="s">
        <v>17</v>
      </c>
      <c r="L22" s="227"/>
      <c r="M22" s="227"/>
      <c r="N22" s="28" t="s">
        <v>11</v>
      </c>
      <c r="O22" s="19">
        <f>'Other Deduction'!B15</f>
        <v>0</v>
      </c>
      <c r="P22" s="234"/>
      <c r="Q22" s="235"/>
    </row>
    <row r="23" spans="2:17" s="20" customFormat="1" ht="15" customHeight="1">
      <c r="B23" s="187"/>
      <c r="C23" s="8" t="s">
        <v>44</v>
      </c>
      <c r="D23" s="174" t="s">
        <v>77</v>
      </c>
      <c r="E23" s="174"/>
      <c r="F23" s="174"/>
      <c r="G23" s="174"/>
      <c r="H23" s="28" t="s">
        <v>11</v>
      </c>
      <c r="I23" s="18">
        <f>'Other Deduction'!B16</f>
        <v>0</v>
      </c>
      <c r="J23" s="8" t="s">
        <v>45</v>
      </c>
      <c r="K23" s="227" t="s">
        <v>104</v>
      </c>
      <c r="L23" s="227"/>
      <c r="M23" s="227"/>
      <c r="N23" s="28" t="s">
        <v>11</v>
      </c>
      <c r="O23" s="19">
        <f>'Other Deduction'!B12</f>
        <v>0</v>
      </c>
      <c r="P23" s="234"/>
      <c r="Q23" s="235"/>
    </row>
    <row r="24" spans="2:17" s="20" customFormat="1" ht="15" customHeight="1">
      <c r="B24" s="187"/>
      <c r="C24" s="8" t="s">
        <v>46</v>
      </c>
      <c r="D24" s="174" t="s">
        <v>78</v>
      </c>
      <c r="E24" s="174"/>
      <c r="F24" s="174"/>
      <c r="G24" s="174"/>
      <c r="H24" s="28" t="s">
        <v>11</v>
      </c>
      <c r="I24" s="18">
        <f>'Other Deduction'!B17</f>
        <v>0</v>
      </c>
      <c r="J24" s="8" t="s">
        <v>47</v>
      </c>
      <c r="K24" s="227" t="s">
        <v>107</v>
      </c>
      <c r="L24" s="227"/>
      <c r="M24" s="227"/>
      <c r="N24" s="28" t="s">
        <v>11</v>
      </c>
      <c r="O24" s="18">
        <f>'Other Deduction'!E15</f>
        <v>0</v>
      </c>
      <c r="P24" s="234"/>
      <c r="Q24" s="235"/>
    </row>
    <row r="25" spans="2:17" s="20" customFormat="1" ht="15" customHeight="1">
      <c r="B25" s="187"/>
      <c r="C25" s="8" t="s">
        <v>48</v>
      </c>
      <c r="D25" s="174" t="s">
        <v>79</v>
      </c>
      <c r="E25" s="174"/>
      <c r="F25" s="174"/>
      <c r="G25" s="174"/>
      <c r="H25" s="28" t="s">
        <v>11</v>
      </c>
      <c r="I25" s="18">
        <f>IF('Master Data'!Z2="No",'Master Data'!O30,0)</f>
        <v>52815</v>
      </c>
      <c r="J25" s="8" t="s">
        <v>49</v>
      </c>
      <c r="K25" s="227" t="s">
        <v>106</v>
      </c>
      <c r="L25" s="227"/>
      <c r="M25" s="227"/>
      <c r="N25" s="28" t="s">
        <v>11</v>
      </c>
      <c r="O25" s="18">
        <f>'Other Deduction'!E16</f>
        <v>0</v>
      </c>
      <c r="P25" s="234"/>
      <c r="Q25" s="235"/>
    </row>
    <row r="26" spans="2:17" s="20" customFormat="1" ht="15" customHeight="1">
      <c r="B26" s="187"/>
      <c r="C26" s="8" t="s">
        <v>50</v>
      </c>
      <c r="D26" s="183" t="s">
        <v>114</v>
      </c>
      <c r="E26" s="184"/>
      <c r="F26" s="184"/>
      <c r="G26" s="185"/>
      <c r="H26" s="28" t="s">
        <v>11</v>
      </c>
      <c r="I26" s="19">
        <f>IF(OR('Master Data'!U11=0,'Master Data'!U11=""),0,220)</f>
        <v>220</v>
      </c>
      <c r="J26" s="8" t="s">
        <v>51</v>
      </c>
      <c r="K26" s="231" t="s">
        <v>105</v>
      </c>
      <c r="L26" s="231"/>
      <c r="M26" s="231"/>
      <c r="N26" s="28" t="s">
        <v>11</v>
      </c>
      <c r="O26" s="18">
        <f>'Other Deduction'!B11</f>
        <v>0</v>
      </c>
      <c r="P26" s="234"/>
      <c r="Q26" s="235"/>
    </row>
    <row r="27" spans="2:17" s="20" customFormat="1" ht="15" customHeight="1">
      <c r="B27" s="187"/>
      <c r="C27" s="8" t="s">
        <v>52</v>
      </c>
      <c r="D27" s="174" t="s">
        <v>9</v>
      </c>
      <c r="E27" s="174"/>
      <c r="F27" s="174"/>
      <c r="G27" s="174"/>
      <c r="H27" s="28" t="s">
        <v>11</v>
      </c>
      <c r="I27" s="19">
        <f>'Other Deduction'!B13</f>
        <v>0</v>
      </c>
      <c r="J27" s="8" t="s">
        <v>53</v>
      </c>
      <c r="K27" s="231" t="s">
        <v>150</v>
      </c>
      <c r="L27" s="231"/>
      <c r="M27" s="231"/>
      <c r="N27" s="28" t="s">
        <v>11</v>
      </c>
      <c r="O27" s="18">
        <f>'Other Deduction'!E5</f>
        <v>0</v>
      </c>
      <c r="P27" s="234"/>
      <c r="Q27" s="235"/>
    </row>
    <row r="28" spans="2:17" s="20" customFormat="1" ht="15" customHeight="1">
      <c r="B28" s="187"/>
      <c r="C28" s="8" t="s">
        <v>54</v>
      </c>
      <c r="D28" s="174" t="s">
        <v>88</v>
      </c>
      <c r="E28" s="174"/>
      <c r="F28" s="174"/>
      <c r="G28" s="174"/>
      <c r="H28" s="28" t="s">
        <v>11</v>
      </c>
      <c r="I28" s="18">
        <f>'Master Data'!V30+'Other Deduction'!B8</f>
        <v>0</v>
      </c>
      <c r="J28" s="8" t="s">
        <v>157</v>
      </c>
      <c r="K28" s="231" t="s">
        <v>158</v>
      </c>
      <c r="L28" s="231"/>
      <c r="M28" s="231"/>
      <c r="N28" s="75" t="s">
        <v>11</v>
      </c>
      <c r="O28" s="18">
        <f>'Other Deduction'!B18</f>
        <v>0</v>
      </c>
      <c r="P28" s="234"/>
      <c r="Q28" s="235"/>
    </row>
    <row r="29" spans="2:17" s="20" customFormat="1" ht="15" customHeight="1">
      <c r="B29" s="187"/>
      <c r="C29" s="228" t="s">
        <v>159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30"/>
      <c r="N29" s="28" t="s">
        <v>11</v>
      </c>
      <c r="O29" s="21">
        <f>SUM(I20:I28)+SUM(O20:O28)</f>
        <v>119035</v>
      </c>
      <c r="P29" s="236"/>
      <c r="Q29" s="237"/>
    </row>
    <row r="30" spans="2:17" s="20" customFormat="1" ht="15" customHeight="1">
      <c r="B30" s="187"/>
      <c r="C30" s="182" t="s">
        <v>102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28" t="s">
        <v>11</v>
      </c>
      <c r="Q30" s="32">
        <f>IF(O29&lt;150001,ROUND(O29,0),150000)</f>
        <v>119035</v>
      </c>
    </row>
    <row r="31" spans="2:17" s="20" customFormat="1" ht="15" customHeight="1">
      <c r="B31" s="187"/>
      <c r="C31" s="238" t="s">
        <v>122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40"/>
      <c r="P31" s="49"/>
      <c r="Q31" s="85">
        <f>O20</f>
        <v>0</v>
      </c>
    </row>
    <row r="32" spans="2:17" s="20" customFormat="1" ht="15" customHeight="1">
      <c r="B32" s="187"/>
      <c r="C32" s="179" t="s">
        <v>121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1"/>
      <c r="P32" s="28" t="s">
        <v>11</v>
      </c>
      <c r="Q32" s="33">
        <f>'Other Deduction'!E7</f>
        <v>0</v>
      </c>
    </row>
    <row r="33" spans="2:17" s="20" customFormat="1" ht="15" customHeight="1">
      <c r="B33" s="188"/>
      <c r="C33" s="182" t="s">
        <v>110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28" t="s">
        <v>11</v>
      </c>
      <c r="Q33" s="32">
        <f>SUM(Q30:Q32)</f>
        <v>119035</v>
      </c>
    </row>
    <row r="34" spans="2:17" s="20" customFormat="1" ht="15" customHeight="1">
      <c r="B34" s="186">
        <v>12</v>
      </c>
      <c r="C34" s="175" t="s">
        <v>120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89"/>
    </row>
    <row r="35" spans="2:17" s="20" customFormat="1" ht="15" customHeight="1">
      <c r="B35" s="187"/>
      <c r="C35" s="190" t="s">
        <v>178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2"/>
      <c r="P35" s="28" t="s">
        <v>11</v>
      </c>
      <c r="Q35" s="33">
        <f>'Other Deduction'!E8</f>
        <v>0</v>
      </c>
    </row>
    <row r="36" spans="2:17" s="20" customFormat="1" ht="15" customHeight="1">
      <c r="B36" s="187"/>
      <c r="C36" s="174" t="s">
        <v>179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28" t="s">
        <v>11</v>
      </c>
      <c r="Q36" s="33">
        <f>'Other Deduction'!E9</f>
        <v>0</v>
      </c>
    </row>
    <row r="37" spans="2:17" s="20" customFormat="1" ht="15" customHeight="1">
      <c r="B37" s="187"/>
      <c r="C37" s="174" t="s">
        <v>180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28" t="s">
        <v>11</v>
      </c>
      <c r="Q37" s="33">
        <f>'Other Deduction'!E10</f>
        <v>0</v>
      </c>
    </row>
    <row r="38" spans="2:17" s="20" customFormat="1" ht="15" customHeight="1">
      <c r="B38" s="187"/>
      <c r="C38" s="174" t="s">
        <v>138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28" t="s">
        <v>11</v>
      </c>
      <c r="Q38" s="33">
        <f>'Other Deduction'!E11</f>
        <v>0</v>
      </c>
    </row>
    <row r="39" spans="2:17" s="20" customFormat="1" ht="15" customHeight="1">
      <c r="B39" s="187"/>
      <c r="C39" s="174" t="s">
        <v>139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8" t="s">
        <v>11</v>
      </c>
      <c r="Q39" s="33">
        <f>'Other Deduction'!E12</f>
        <v>0</v>
      </c>
    </row>
    <row r="40" spans="2:17" s="20" customFormat="1" ht="15" customHeight="1">
      <c r="B40" s="187"/>
      <c r="C40" s="190" t="s">
        <v>140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2"/>
      <c r="P40" s="28" t="s">
        <v>11</v>
      </c>
      <c r="Q40" s="33">
        <f>'Other Deduction'!E13</f>
        <v>0</v>
      </c>
    </row>
    <row r="41" spans="2:17" s="20" customFormat="1" ht="15" customHeight="1">
      <c r="B41" s="187"/>
      <c r="C41" s="183" t="s">
        <v>182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  <c r="P41" s="28" t="s">
        <v>11</v>
      </c>
      <c r="Q41" s="33">
        <f>IF('Master Data'!P4="Yes",IF('Other Deduction'!E3&lt;50001,'Other Deduction'!E3,50000),IF('Other Deduction'!E3&lt;10001,'Other Deduction'!E3,10000))</f>
        <v>0</v>
      </c>
    </row>
    <row r="42" spans="2:17" s="20" customFormat="1" ht="15" customHeight="1">
      <c r="B42" s="187"/>
      <c r="C42" s="183" t="s">
        <v>108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5"/>
      <c r="P42" s="51" t="s">
        <v>11</v>
      </c>
      <c r="Q42" s="33">
        <f>'Other Deduction'!E14</f>
        <v>0</v>
      </c>
    </row>
    <row r="43" spans="2:17" s="20" customFormat="1" ht="15" customHeight="1">
      <c r="B43" s="188"/>
      <c r="C43" s="182" t="s">
        <v>55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28" t="s">
        <v>11</v>
      </c>
      <c r="Q43" s="34">
        <f>SUM(Q35:Q42)</f>
        <v>0</v>
      </c>
    </row>
    <row r="44" spans="2:17" s="20" customFormat="1" ht="15" customHeight="1">
      <c r="B44" s="31">
        <v>13</v>
      </c>
      <c r="C44" s="175" t="s">
        <v>116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28" t="s">
        <v>11</v>
      </c>
      <c r="Q44" s="33">
        <f>Q33+Q43</f>
        <v>119035</v>
      </c>
    </row>
    <row r="45" spans="2:17" s="20" customFormat="1" ht="15" customHeight="1">
      <c r="B45" s="31">
        <v>14</v>
      </c>
      <c r="C45" s="174" t="s">
        <v>66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28" t="s">
        <v>11</v>
      </c>
      <c r="Q45" s="33">
        <f>(Q17-Q44)</f>
        <v>509858</v>
      </c>
    </row>
    <row r="46" spans="2:17" s="20" customFormat="1">
      <c r="B46" s="31">
        <v>15</v>
      </c>
      <c r="C46" s="175" t="s">
        <v>161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28" t="s">
        <v>11</v>
      </c>
      <c r="Q46" s="32">
        <f>ROUND(Q45,-1)</f>
        <v>509860</v>
      </c>
    </row>
    <row r="47" spans="2:17" s="20" customFormat="1" ht="15" customHeight="1">
      <c r="B47" s="186">
        <v>16</v>
      </c>
      <c r="C47" s="174" t="s">
        <v>56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99"/>
    </row>
    <row r="48" spans="2:17" s="20" customFormat="1" ht="15" customHeight="1">
      <c r="B48" s="187"/>
      <c r="C48" s="200" t="s">
        <v>82</v>
      </c>
      <c r="D48" s="200"/>
      <c r="E48" s="200"/>
      <c r="F48" s="200"/>
      <c r="G48" s="200"/>
      <c r="H48" s="200" t="s">
        <v>97</v>
      </c>
      <c r="I48" s="200"/>
      <c r="J48" s="200"/>
      <c r="K48" s="200"/>
      <c r="L48" s="201" t="s">
        <v>115</v>
      </c>
      <c r="M48" s="202"/>
      <c r="N48" s="202"/>
      <c r="O48" s="203"/>
      <c r="P48" s="9"/>
      <c r="Q48" s="35"/>
    </row>
    <row r="49" spans="2:17" s="20" customFormat="1" ht="15" customHeight="1">
      <c r="B49" s="187"/>
      <c r="C49" s="176" t="s">
        <v>83</v>
      </c>
      <c r="D49" s="177"/>
      <c r="E49" s="178"/>
      <c r="F49" s="173" t="s">
        <v>57</v>
      </c>
      <c r="G49" s="173"/>
      <c r="H49" s="176" t="s">
        <v>98</v>
      </c>
      <c r="I49" s="177"/>
      <c r="J49" s="178"/>
      <c r="K49" s="27" t="s">
        <v>57</v>
      </c>
      <c r="L49" s="176"/>
      <c r="M49" s="177"/>
      <c r="N49" s="178"/>
      <c r="O49" s="66"/>
      <c r="P49" s="28" t="s">
        <v>11</v>
      </c>
      <c r="Q49" s="36">
        <v>0</v>
      </c>
    </row>
    <row r="50" spans="2:17" s="20" customFormat="1" ht="15" customHeight="1">
      <c r="B50" s="187"/>
      <c r="C50" s="176" t="s">
        <v>58</v>
      </c>
      <c r="D50" s="177"/>
      <c r="E50" s="178"/>
      <c r="F50" s="172">
        <v>0.05</v>
      </c>
      <c r="G50" s="173"/>
      <c r="H50" s="173" t="s">
        <v>99</v>
      </c>
      <c r="I50" s="173"/>
      <c r="J50" s="173"/>
      <c r="K50" s="26">
        <v>0.05</v>
      </c>
      <c r="L50" s="176" t="s">
        <v>84</v>
      </c>
      <c r="M50" s="177"/>
      <c r="N50" s="178"/>
      <c r="O50" s="66" t="s">
        <v>57</v>
      </c>
      <c r="P50" s="28" t="s">
        <v>11</v>
      </c>
      <c r="Q50" s="36">
        <f>ROUND(IF('Master Data'!P4="No",IF(Q46&lt;250001,0,IF(Q46&gt;500000,12500,((Q46-250000)*0.05))),IF(Q46&lt;300001,0,IF(Q46&gt;500000,10000,((Q46-300000)*0.05)))),0)</f>
        <v>12500</v>
      </c>
    </row>
    <row r="51" spans="2:17" s="20" customFormat="1" ht="15" customHeight="1">
      <c r="B51" s="187"/>
      <c r="C51" s="176" t="s">
        <v>59</v>
      </c>
      <c r="D51" s="177"/>
      <c r="E51" s="178"/>
      <c r="F51" s="172">
        <v>0.2</v>
      </c>
      <c r="G51" s="173"/>
      <c r="H51" s="173" t="s">
        <v>59</v>
      </c>
      <c r="I51" s="173"/>
      <c r="J51" s="173"/>
      <c r="K51" s="26">
        <v>0.2</v>
      </c>
      <c r="L51" s="176" t="s">
        <v>59</v>
      </c>
      <c r="M51" s="177"/>
      <c r="N51" s="178"/>
      <c r="O51" s="65">
        <v>0.2</v>
      </c>
      <c r="P51" s="28" t="s">
        <v>11</v>
      </c>
      <c r="Q51" s="36">
        <f>IF(Q46&lt;500001,0,IF(Q46&gt;1000000,100000,((Q46-500000)*0.2)))</f>
        <v>1972</v>
      </c>
    </row>
    <row r="52" spans="2:17" s="20" customFormat="1" ht="15" customHeight="1">
      <c r="B52" s="187"/>
      <c r="C52" s="204" t="s">
        <v>80</v>
      </c>
      <c r="D52" s="205"/>
      <c r="E52" s="206"/>
      <c r="F52" s="172">
        <v>0.3</v>
      </c>
      <c r="G52" s="173"/>
      <c r="H52" s="173" t="s">
        <v>81</v>
      </c>
      <c r="I52" s="173"/>
      <c r="J52" s="173"/>
      <c r="K52" s="26">
        <v>0.3</v>
      </c>
      <c r="L52" s="176" t="s">
        <v>81</v>
      </c>
      <c r="M52" s="177"/>
      <c r="N52" s="178"/>
      <c r="O52" s="65">
        <v>0.3</v>
      </c>
      <c r="P52" s="28" t="s">
        <v>11</v>
      </c>
      <c r="Q52" s="36">
        <f>IF(Q46&lt;1000001,0,((Q46-1000000)*0.3/2))</f>
        <v>0</v>
      </c>
    </row>
    <row r="53" spans="2:17" s="20" customFormat="1" ht="15" customHeight="1">
      <c r="B53" s="187"/>
      <c r="C53" s="194" t="s">
        <v>67</v>
      </c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6"/>
      <c r="P53" s="28" t="s">
        <v>11</v>
      </c>
      <c r="Q53" s="32">
        <f>SUM(Q49:Q52)</f>
        <v>14472</v>
      </c>
    </row>
    <row r="54" spans="2:17" s="20" customFormat="1" ht="15" customHeight="1">
      <c r="B54" s="187"/>
      <c r="C54" s="207" t="s">
        <v>183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9"/>
      <c r="P54" s="42" t="s">
        <v>11</v>
      </c>
      <c r="Q54" s="33">
        <f>IF(Q46&gt;500000,0,IF(Q53&lt;12501,Q53,12500))</f>
        <v>0</v>
      </c>
    </row>
    <row r="55" spans="2:17" s="20" customFormat="1" ht="15" customHeight="1">
      <c r="B55" s="187"/>
      <c r="C55" s="194" t="s">
        <v>100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6"/>
      <c r="P55" s="42" t="s">
        <v>11</v>
      </c>
      <c r="Q55" s="32">
        <f>Q53-Q54</f>
        <v>14472</v>
      </c>
    </row>
    <row r="56" spans="2:17" s="20" customFormat="1" ht="15" customHeight="1">
      <c r="B56" s="187"/>
      <c r="C56" s="197" t="s">
        <v>175</v>
      </c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28" t="s">
        <v>11</v>
      </c>
      <c r="Q56" s="33">
        <f>ROUND(Q55*0.04,0)</f>
        <v>579</v>
      </c>
    </row>
    <row r="57" spans="2:17" s="20" customFormat="1" ht="15" customHeight="1">
      <c r="B57" s="188"/>
      <c r="C57" s="198" t="s">
        <v>101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28" t="s">
        <v>11</v>
      </c>
      <c r="Q57" s="32">
        <f>SUM(Q55:Q56)</f>
        <v>15051</v>
      </c>
    </row>
    <row r="58" spans="2:17" s="20" customFormat="1" ht="15" customHeight="1">
      <c r="B58" s="31">
        <v>17</v>
      </c>
      <c r="C58" s="183" t="s">
        <v>68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5"/>
      <c r="P58" s="28" t="s">
        <v>11</v>
      </c>
      <c r="Q58" s="33">
        <f>'Other Deduction'!E17</f>
        <v>0</v>
      </c>
    </row>
    <row r="59" spans="2:17" s="20" customFormat="1" ht="15" customHeight="1">
      <c r="B59" s="31">
        <v>18</v>
      </c>
      <c r="C59" s="175" t="s">
        <v>85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28" t="s">
        <v>11</v>
      </c>
      <c r="Q59" s="32">
        <f>Q57-Q58</f>
        <v>15051</v>
      </c>
    </row>
    <row r="60" spans="2:17" ht="33.75" customHeight="1">
      <c r="B60" s="186">
        <v>19</v>
      </c>
      <c r="C60" s="220" t="s">
        <v>60</v>
      </c>
      <c r="D60" s="220"/>
      <c r="E60" s="221"/>
      <c r="F60" s="218" t="s">
        <v>196</v>
      </c>
      <c r="G60" s="218"/>
      <c r="H60" s="218"/>
      <c r="I60" s="218"/>
      <c r="J60" s="211" t="s">
        <v>197</v>
      </c>
      <c r="K60" s="219"/>
      <c r="L60" s="87" t="s">
        <v>198</v>
      </c>
      <c r="M60" s="211" t="s">
        <v>199</v>
      </c>
      <c r="N60" s="219"/>
      <c r="O60" s="67" t="s">
        <v>89</v>
      </c>
      <c r="P60" s="211" t="s">
        <v>160</v>
      </c>
      <c r="Q60" s="212"/>
    </row>
    <row r="61" spans="2:17">
      <c r="B61" s="188"/>
      <c r="C61" s="222"/>
      <c r="D61" s="222"/>
      <c r="E61" s="223"/>
      <c r="F61" s="213">
        <f>SUM('Master Data'!X10:X16)</f>
        <v>0</v>
      </c>
      <c r="G61" s="213"/>
      <c r="H61" s="213"/>
      <c r="I61" s="213"/>
      <c r="J61" s="213">
        <f>SUM('Master Data'!X17:X19)</f>
        <v>0</v>
      </c>
      <c r="K61" s="213"/>
      <c r="L61" s="25">
        <f>'Master Data'!X20</f>
        <v>0</v>
      </c>
      <c r="M61" s="213">
        <f>'Master Data'!X21</f>
        <v>0</v>
      </c>
      <c r="N61" s="213"/>
      <c r="O61" s="69">
        <f>SUM('Master Data'!X22:X29)+'Other Deduction'!E18</f>
        <v>0</v>
      </c>
      <c r="P61" s="214">
        <f>F61+J61+L61+M61+O61</f>
        <v>0</v>
      </c>
      <c r="Q61" s="215"/>
    </row>
    <row r="62" spans="2:17" ht="16.5" thickBot="1">
      <c r="B62" s="216" t="str">
        <f>IF(Q59&gt;P61,"Income Tax Payable",IF(Q59&lt;P61,"Income Tax Refundable","Income Tax Payble/Refundable"))</f>
        <v>Income Tax Payable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37" t="s">
        <v>11</v>
      </c>
      <c r="Q62" s="38">
        <f>IF(Q59&gt;P61,Q59-P61,P61-Q59)</f>
        <v>15051</v>
      </c>
    </row>
    <row r="63" spans="2:17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4"/>
      <c r="Q63" s="45"/>
    </row>
    <row r="64" spans="2:17" ht="16.5">
      <c r="B64" s="10"/>
      <c r="C64" s="11"/>
      <c r="D64" s="11"/>
      <c r="E64" s="46" t="s">
        <v>117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3"/>
    </row>
    <row r="65" spans="1:18">
      <c r="B65" s="10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s="70" customFormat="1" ht="15.75" customHeight="1">
      <c r="B66" s="71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</row>
    <row r="67" spans="1:18" s="70" customFormat="1" ht="15.75" hidden="1" customHeight="1">
      <c r="B67" s="72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</row>
    <row r="68" spans="1:18" s="70" customFormat="1" ht="24" hidden="1" customHeight="1">
      <c r="B68" s="71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</row>
    <row r="69" spans="1:18" s="70" customFormat="1" ht="15.75" hidden="1" customHeight="1">
      <c r="B69" s="71"/>
      <c r="C69" s="73"/>
      <c r="D69" s="73"/>
      <c r="E69" s="73"/>
      <c r="F69" s="73"/>
      <c r="G69" s="73"/>
      <c r="H69" s="73"/>
      <c r="I69" s="73"/>
      <c r="J69" s="73"/>
      <c r="K69" s="73"/>
      <c r="L69" s="193"/>
      <c r="M69" s="193"/>
      <c r="N69" s="193"/>
      <c r="O69" s="193"/>
      <c r="P69" s="193"/>
      <c r="Q69" s="193"/>
    </row>
    <row r="70" spans="1:18" s="70" customFormat="1" ht="15.75" hidden="1" customHeight="1">
      <c r="B70" s="71"/>
      <c r="C70" s="73"/>
      <c r="D70" s="73"/>
      <c r="E70" s="73"/>
      <c r="F70" s="73"/>
      <c r="G70" s="73"/>
      <c r="H70" s="73"/>
      <c r="I70" s="73"/>
      <c r="J70" s="73"/>
      <c r="K70" s="73"/>
      <c r="L70" s="193"/>
      <c r="M70" s="193"/>
      <c r="N70" s="193"/>
      <c r="O70" s="193"/>
      <c r="P70" s="193"/>
      <c r="Q70" s="193"/>
    </row>
    <row r="71" spans="1:18" s="70" customFormat="1" ht="15.75" hidden="1" customHeight="1">
      <c r="B71" s="71"/>
      <c r="C71" s="73"/>
      <c r="D71" s="73"/>
      <c r="E71" s="73"/>
      <c r="F71" s="73"/>
      <c r="G71" s="73"/>
      <c r="H71" s="73"/>
      <c r="I71" s="73"/>
      <c r="J71" s="73"/>
      <c r="K71" s="73"/>
      <c r="L71" s="193"/>
      <c r="M71" s="193"/>
      <c r="N71" s="193"/>
      <c r="O71" s="193"/>
      <c r="P71" s="193"/>
      <c r="Q71" s="193"/>
    </row>
    <row r="72" spans="1:18" s="70" customFormat="1" ht="15.75" hidden="1" customHeight="1">
      <c r="B72" s="71"/>
      <c r="C72" s="73"/>
      <c r="D72" s="73"/>
      <c r="E72" s="73"/>
      <c r="F72" s="73"/>
      <c r="G72" s="73"/>
      <c r="H72" s="73"/>
      <c r="I72" s="73"/>
      <c r="J72" s="73"/>
      <c r="K72" s="73"/>
      <c r="L72" s="193"/>
      <c r="M72" s="193"/>
      <c r="N72" s="193"/>
      <c r="O72" s="193"/>
      <c r="P72" s="193"/>
      <c r="Q72" s="193"/>
    </row>
    <row r="73" spans="1:18" s="70" customFormat="1" ht="15.75" hidden="1" customHeight="1">
      <c r="B73" s="71"/>
      <c r="C73" s="73"/>
      <c r="D73" s="73"/>
      <c r="E73" s="73"/>
      <c r="F73" s="73"/>
      <c r="G73" s="73"/>
      <c r="H73" s="73"/>
      <c r="I73" s="73"/>
      <c r="J73" s="73"/>
      <c r="K73" s="73"/>
      <c r="L73" s="193"/>
      <c r="M73" s="193"/>
      <c r="N73" s="193"/>
      <c r="O73" s="193"/>
      <c r="P73" s="193"/>
      <c r="Q73" s="193"/>
    </row>
    <row r="74" spans="1:18" s="70" customFormat="1" hidden="1">
      <c r="B74" s="72"/>
      <c r="C74" s="74"/>
      <c r="D74" s="263"/>
      <c r="E74" s="263"/>
      <c r="F74" s="263"/>
      <c r="G74" s="263"/>
      <c r="H74" s="263"/>
      <c r="I74" s="263"/>
      <c r="J74" s="263"/>
      <c r="K74" s="74"/>
      <c r="L74" s="193"/>
      <c r="M74" s="193"/>
      <c r="N74" s="193"/>
      <c r="O74" s="193"/>
      <c r="P74" s="193"/>
      <c r="Q74" s="193"/>
    </row>
    <row r="75" spans="1:18" s="70" customFormat="1" hidden="1">
      <c r="B75" s="72"/>
      <c r="C75" s="74"/>
      <c r="D75" s="74"/>
      <c r="E75" s="74"/>
      <c r="F75" s="74"/>
      <c r="G75" s="74"/>
      <c r="H75" s="74"/>
      <c r="I75" s="74"/>
      <c r="J75" s="74"/>
      <c r="K75" s="74"/>
      <c r="L75" s="193"/>
      <c r="M75" s="193"/>
      <c r="N75" s="193"/>
      <c r="O75" s="193"/>
      <c r="P75" s="193"/>
      <c r="Q75" s="193"/>
    </row>
    <row r="76" spans="1:18" hidden="1">
      <c r="A76" s="6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3"/>
      <c r="Q76" s="64"/>
      <c r="R76" s="60"/>
    </row>
    <row r="77" spans="1:18" hidden="1">
      <c r="A77" s="6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  <c r="Q77" s="64"/>
      <c r="R77" s="60"/>
    </row>
    <row r="78" spans="1:18" hidden="1">
      <c r="A78" s="6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64"/>
      <c r="R78" s="60"/>
    </row>
  </sheetData>
  <sheetProtection password="E4D2" sheet="1" objects="1" scenario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19">
    <mergeCell ref="B11:B13"/>
    <mergeCell ref="C11:J11"/>
    <mergeCell ref="K11:L11"/>
    <mergeCell ref="E13:G13"/>
    <mergeCell ref="E12:G12"/>
    <mergeCell ref="C12:D13"/>
    <mergeCell ref="D74:J74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4:O44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8:B33"/>
    <mergeCell ref="C18:Q18"/>
    <mergeCell ref="C19:Q19"/>
    <mergeCell ref="D20:G20"/>
    <mergeCell ref="K20:M20"/>
    <mergeCell ref="D21:G21"/>
    <mergeCell ref="K21:M21"/>
    <mergeCell ref="C29:M29"/>
    <mergeCell ref="K28:M28"/>
    <mergeCell ref="P20:Q29"/>
    <mergeCell ref="D22:G22"/>
    <mergeCell ref="K22:M22"/>
    <mergeCell ref="D23:G23"/>
    <mergeCell ref="K23:M23"/>
    <mergeCell ref="D24:G24"/>
    <mergeCell ref="K24:M24"/>
    <mergeCell ref="D25:G25"/>
    <mergeCell ref="K25:M25"/>
    <mergeCell ref="C31:O31"/>
    <mergeCell ref="C30:O30"/>
    <mergeCell ref="F52:G52"/>
    <mergeCell ref="H52:J52"/>
    <mergeCell ref="L52:N52"/>
    <mergeCell ref="M61:N61"/>
    <mergeCell ref="P61:Q61"/>
    <mergeCell ref="B62:O62"/>
    <mergeCell ref="C58:O58"/>
    <mergeCell ref="C59:O59"/>
    <mergeCell ref="F60:I60"/>
    <mergeCell ref="J60:K60"/>
    <mergeCell ref="M60:N60"/>
    <mergeCell ref="C60:E61"/>
    <mergeCell ref="B60:B61"/>
    <mergeCell ref="L69:Q75"/>
    <mergeCell ref="C53:O53"/>
    <mergeCell ref="C56:O56"/>
    <mergeCell ref="C57:O57"/>
    <mergeCell ref="B47:B57"/>
    <mergeCell ref="C47:Q47"/>
    <mergeCell ref="C48:G48"/>
    <mergeCell ref="H48:K48"/>
    <mergeCell ref="L48:O48"/>
    <mergeCell ref="C51:E51"/>
    <mergeCell ref="C52:E52"/>
    <mergeCell ref="C49:E49"/>
    <mergeCell ref="C50:E50"/>
    <mergeCell ref="F51:G51"/>
    <mergeCell ref="H51:J51"/>
    <mergeCell ref="L51:N51"/>
    <mergeCell ref="H50:J50"/>
    <mergeCell ref="L50:N50"/>
    <mergeCell ref="C54:O54"/>
    <mergeCell ref="C55:O55"/>
    <mergeCell ref="C66:Q68"/>
    <mergeCell ref="P60:Q60"/>
    <mergeCell ref="F61:I61"/>
    <mergeCell ref="J61:K61"/>
    <mergeCell ref="B34:B43"/>
    <mergeCell ref="C34:Q34"/>
    <mergeCell ref="C35:O35"/>
    <mergeCell ref="C36:O36"/>
    <mergeCell ref="C37:O37"/>
    <mergeCell ref="C38:O38"/>
    <mergeCell ref="C39:O39"/>
    <mergeCell ref="C40:O40"/>
    <mergeCell ref="C43:O43"/>
    <mergeCell ref="F50:G50"/>
    <mergeCell ref="C45:O45"/>
    <mergeCell ref="C46:O46"/>
    <mergeCell ref="F49:G49"/>
    <mergeCell ref="H49:J49"/>
    <mergeCell ref="L49:N49"/>
    <mergeCell ref="D28:G28"/>
    <mergeCell ref="C32:O32"/>
    <mergeCell ref="C33:O33"/>
    <mergeCell ref="C41:O41"/>
    <mergeCell ref="C42:O42"/>
  </mergeCells>
  <printOptions horizontalCentered="1"/>
  <pageMargins left="0.39370078740157483" right="0.23622047244094491" top="0.23622047244094491" bottom="0.17" header="0.19685039370078741" footer="0.17"/>
  <pageSetup paperSize="9" scale="83" orientation="portrait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50021"/>
  </sheetPr>
  <dimension ref="A1:R82"/>
  <sheetViews>
    <sheetView workbookViewId="0">
      <selection activeCell="Q31" sqref="Q31"/>
    </sheetView>
  </sheetViews>
  <sheetFormatPr defaultColWidth="0" defaultRowHeight="15.6" customHeight="1" zeroHeight="1"/>
  <cols>
    <col min="1" max="1" width="0.5703125" customWidth="1" collapsed="1"/>
    <col min="2" max="2" width="3.140625" style="15" customWidth="1" collapsed="1"/>
    <col min="3" max="3" width="4.5703125" style="14" customWidth="1" collapsed="1"/>
    <col min="4" max="5" width="9.140625" style="14" customWidth="1" collapsed="1"/>
    <col min="6" max="6" width="3.85546875" style="14" customWidth="1" collapsed="1"/>
    <col min="7" max="7" width="4.140625" style="14" customWidth="1" collapsed="1"/>
    <col min="8" max="8" width="4" style="14" customWidth="1" collapsed="1"/>
    <col min="9" max="9" width="11.5703125" style="14" customWidth="1" collapsed="1"/>
    <col min="10" max="10" width="6.28515625" style="14" customWidth="1" collapsed="1"/>
    <col min="11" max="11" width="10.28515625" style="14" customWidth="1" collapsed="1"/>
    <col min="12" max="12" width="13.42578125" style="14" customWidth="1" collapsed="1"/>
    <col min="13" max="13" width="9.42578125" style="14" customWidth="1" collapsed="1"/>
    <col min="14" max="14" width="5.28515625" style="14" customWidth="1" collapsed="1"/>
    <col min="15" max="15" width="13.42578125" style="14" customWidth="1" collapsed="1"/>
    <col min="16" max="16" width="4.42578125" style="16" customWidth="1" collapsed="1"/>
    <col min="17" max="17" width="22.85546875" style="17" customWidth="1" collapsed="1"/>
    <col min="18" max="18" width="2.42578125" customWidth="1" collapsed="1"/>
    <col min="19" max="16384" width="9.140625" hidden="1" collapsed="1"/>
  </cols>
  <sheetData>
    <row r="1" spans="2:17" s="20" customFormat="1" ht="18.75">
      <c r="B1" s="241" t="str">
        <f>'Master Data'!C5</f>
        <v>GOVT SR. SEC SCHOOL DILOD HATHI, ATRU BARAN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2:17" s="20" customFormat="1" ht="21" thickBot="1">
      <c r="B2" s="242" t="s">
        <v>193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2:17" s="20" customFormat="1" ht="15.75">
      <c r="B3" s="39">
        <v>1</v>
      </c>
      <c r="C3" s="243" t="s">
        <v>10</v>
      </c>
      <c r="D3" s="244"/>
      <c r="E3" s="250" t="str">
        <f>'Master Data'!D7</f>
        <v>PARMANAND MEGHWAL</v>
      </c>
      <c r="F3" s="250"/>
      <c r="G3" s="250"/>
      <c r="H3" s="250"/>
      <c r="I3" s="250"/>
      <c r="J3" s="250"/>
      <c r="K3" s="40" t="s">
        <v>29</v>
      </c>
      <c r="L3" s="251" t="str">
        <f>'Master Data'!K7</f>
        <v>SR TEACHER</v>
      </c>
      <c r="M3" s="251"/>
      <c r="N3" s="251"/>
      <c r="O3" s="41" t="s">
        <v>28</v>
      </c>
      <c r="P3" s="245" t="str">
        <f>IF('Master Data'!P7="","",'Master Data'!P7)</f>
        <v>ASQPM6311G</v>
      </c>
      <c r="Q3" s="246"/>
    </row>
    <row r="4" spans="2:17" s="20" customFormat="1" ht="15.75">
      <c r="B4" s="31">
        <v>2</v>
      </c>
      <c r="C4" s="247" t="s">
        <v>194</v>
      </c>
      <c r="D4" s="247"/>
      <c r="E4" s="174"/>
      <c r="F4" s="174"/>
      <c r="G4" s="174"/>
      <c r="H4" s="174"/>
      <c r="I4" s="174"/>
      <c r="J4" s="174"/>
      <c r="K4" s="247"/>
      <c r="L4" s="174"/>
      <c r="M4" s="174"/>
      <c r="N4" s="174"/>
      <c r="O4" s="247"/>
      <c r="P4" s="115" t="s">
        <v>11</v>
      </c>
      <c r="Q4" s="32">
        <f>IF('Master Data'!Z2="No",'Master Data'!N30,('Master Data'!N30+'Master Data'!O30))</f>
        <v>721773</v>
      </c>
    </row>
    <row r="5" spans="2:17" s="20" customFormat="1" ht="15.75">
      <c r="B5" s="31">
        <v>3</v>
      </c>
      <c r="C5" s="174" t="s">
        <v>118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15" t="s">
        <v>11</v>
      </c>
      <c r="Q5" s="33">
        <v>0</v>
      </c>
    </row>
    <row r="6" spans="2:17" s="20" customFormat="1" ht="15.75">
      <c r="B6" s="31">
        <v>4</v>
      </c>
      <c r="C6" s="182" t="s">
        <v>30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15" t="s">
        <v>11</v>
      </c>
      <c r="Q6" s="33">
        <f>Q4-Q5</f>
        <v>721773</v>
      </c>
    </row>
    <row r="7" spans="2:17" s="20" customFormat="1" ht="15.75">
      <c r="B7" s="186">
        <v>5</v>
      </c>
      <c r="C7" s="183" t="s">
        <v>72</v>
      </c>
      <c r="D7" s="184"/>
      <c r="E7" s="184"/>
      <c r="F7" s="184"/>
      <c r="G7" s="184"/>
      <c r="H7" s="184"/>
      <c r="I7" s="184"/>
      <c r="J7" s="184"/>
      <c r="K7" s="184"/>
      <c r="L7" s="184"/>
      <c r="M7" s="249">
        <f>'Other Deduction'!B4</f>
        <v>0</v>
      </c>
      <c r="N7" s="249"/>
      <c r="O7" s="249"/>
      <c r="P7" s="232"/>
      <c r="Q7" s="233"/>
    </row>
    <row r="8" spans="2:17" s="20" customFormat="1" ht="15.75">
      <c r="B8" s="187"/>
      <c r="C8" s="183" t="s">
        <v>73</v>
      </c>
      <c r="D8" s="184"/>
      <c r="E8" s="184"/>
      <c r="F8" s="184"/>
      <c r="G8" s="184"/>
      <c r="H8" s="184"/>
      <c r="I8" s="184"/>
      <c r="J8" s="184"/>
      <c r="K8" s="184"/>
      <c r="L8" s="184"/>
      <c r="M8" s="249">
        <f>'Other Deduction'!B5</f>
        <v>0</v>
      </c>
      <c r="N8" s="249"/>
      <c r="O8" s="249"/>
      <c r="P8" s="236"/>
      <c r="Q8" s="237"/>
    </row>
    <row r="9" spans="2:17" s="20" customFormat="1" ht="15.75">
      <c r="B9" s="188"/>
      <c r="C9" s="183" t="s">
        <v>195</v>
      </c>
      <c r="D9" s="184"/>
      <c r="E9" s="184"/>
      <c r="F9" s="184"/>
      <c r="G9" s="184"/>
      <c r="H9" s="184"/>
      <c r="I9" s="184"/>
      <c r="J9" s="184"/>
      <c r="K9" s="184"/>
      <c r="L9" s="184"/>
      <c r="M9" s="249">
        <v>0</v>
      </c>
      <c r="N9" s="249"/>
      <c r="O9" s="249"/>
      <c r="P9" s="115" t="s">
        <v>11</v>
      </c>
      <c r="Q9" s="33">
        <v>0</v>
      </c>
    </row>
    <row r="10" spans="2:17" s="20" customFormat="1" ht="15.75">
      <c r="B10" s="31">
        <v>6</v>
      </c>
      <c r="C10" s="248" t="s">
        <v>12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115" t="s">
        <v>11</v>
      </c>
      <c r="Q10" s="33">
        <f>Q6-Q9</f>
        <v>721773</v>
      </c>
    </row>
    <row r="11" spans="2:17" s="20" customFormat="1" ht="15.75">
      <c r="B11" s="252">
        <v>7</v>
      </c>
      <c r="C11" s="174" t="s">
        <v>31</v>
      </c>
      <c r="D11" s="174"/>
      <c r="E11" s="174"/>
      <c r="F11" s="174"/>
      <c r="G11" s="174"/>
      <c r="H11" s="174"/>
      <c r="I11" s="174"/>
      <c r="J11" s="174"/>
      <c r="K11" s="248" t="s">
        <v>32</v>
      </c>
      <c r="L11" s="248"/>
      <c r="M11" s="249">
        <f>'Other Deduction'!B6</f>
        <v>0</v>
      </c>
      <c r="N11" s="249"/>
      <c r="O11" s="249"/>
      <c r="P11" s="264"/>
      <c r="Q11" s="265"/>
    </row>
    <row r="12" spans="2:17" s="20" customFormat="1" ht="15.75">
      <c r="B12" s="252"/>
      <c r="C12" s="259" t="s">
        <v>33</v>
      </c>
      <c r="D12" s="260"/>
      <c r="E12" s="256" t="s">
        <v>87</v>
      </c>
      <c r="F12" s="257"/>
      <c r="G12" s="258"/>
      <c r="H12" s="266" t="s">
        <v>13</v>
      </c>
      <c r="I12" s="266"/>
      <c r="J12" s="266"/>
      <c r="K12" s="248" t="s">
        <v>34</v>
      </c>
      <c r="L12" s="248"/>
      <c r="M12" s="248" t="s">
        <v>64</v>
      </c>
      <c r="N12" s="248"/>
      <c r="O12" s="248"/>
      <c r="P12" s="264"/>
      <c r="Q12" s="265"/>
    </row>
    <row r="13" spans="2:17" s="20" customFormat="1" ht="15.75">
      <c r="B13" s="252"/>
      <c r="C13" s="261"/>
      <c r="D13" s="262"/>
      <c r="E13" s="253">
        <f>ROUND(M11*0.3,0)</f>
        <v>0</v>
      </c>
      <c r="F13" s="254"/>
      <c r="G13" s="255"/>
      <c r="H13" s="249">
        <v>0</v>
      </c>
      <c r="I13" s="249"/>
      <c r="J13" s="249"/>
      <c r="K13" s="249">
        <f>'Other Deduction'!B7</f>
        <v>0</v>
      </c>
      <c r="L13" s="249"/>
      <c r="M13" s="249">
        <f>E13+H13+K13</f>
        <v>0</v>
      </c>
      <c r="N13" s="249"/>
      <c r="O13" s="249"/>
      <c r="P13" s="264"/>
      <c r="Q13" s="265"/>
    </row>
    <row r="14" spans="2:17" s="20" customFormat="1" ht="15.75">
      <c r="B14" s="31"/>
      <c r="C14" s="248" t="s">
        <v>35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115" t="s">
        <v>11</v>
      </c>
      <c r="Q14" s="33">
        <f>E13</f>
        <v>0</v>
      </c>
    </row>
    <row r="15" spans="2:17" s="20" customFormat="1" ht="15.75">
      <c r="B15" s="31">
        <v>8</v>
      </c>
      <c r="C15" s="248" t="s">
        <v>65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115" t="s">
        <v>11</v>
      </c>
      <c r="Q15" s="33">
        <f>Q10+Q14</f>
        <v>721773</v>
      </c>
    </row>
    <row r="16" spans="2:17" s="20" customFormat="1" ht="15.75">
      <c r="B16" s="31">
        <v>9</v>
      </c>
      <c r="C16" s="174" t="s">
        <v>27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15" t="s">
        <v>11</v>
      </c>
      <c r="Q16" s="33">
        <f>'Other Deduction'!E3+'Other Deduction'!E4</f>
        <v>0</v>
      </c>
    </row>
    <row r="17" spans="2:17" s="20" customFormat="1" ht="15.75">
      <c r="B17" s="31">
        <v>10</v>
      </c>
      <c r="C17" s="174" t="s">
        <v>36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15" t="s">
        <v>11</v>
      </c>
      <c r="Q17" s="32">
        <f>Q15+Q16</f>
        <v>721773</v>
      </c>
    </row>
    <row r="18" spans="2:17" s="20" customFormat="1" ht="15.75">
      <c r="B18" s="186">
        <v>11</v>
      </c>
      <c r="C18" s="175" t="s">
        <v>119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89"/>
    </row>
    <row r="19" spans="2:17" s="20" customFormat="1" ht="15.75">
      <c r="B19" s="187"/>
      <c r="C19" s="224" t="s">
        <v>103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</row>
    <row r="20" spans="2:17" s="20" customFormat="1" ht="15.75">
      <c r="B20" s="187"/>
      <c r="C20" s="8" t="s">
        <v>37</v>
      </c>
      <c r="D20" s="174" t="s">
        <v>74</v>
      </c>
      <c r="E20" s="174"/>
      <c r="F20" s="174"/>
      <c r="G20" s="174"/>
      <c r="H20" s="115" t="s">
        <v>11</v>
      </c>
      <c r="I20" s="18">
        <f>'Master Data'!Q30</f>
        <v>36000</v>
      </c>
      <c r="J20" s="8" t="s">
        <v>38</v>
      </c>
      <c r="K20" s="226" t="s">
        <v>111</v>
      </c>
      <c r="L20" s="226"/>
      <c r="M20" s="226"/>
      <c r="N20" s="115" t="s">
        <v>11</v>
      </c>
      <c r="O20" s="88">
        <f>IF('Master Data'!Z2="Yes",'Master Data'!O30,0)</f>
        <v>0</v>
      </c>
      <c r="P20" s="232"/>
      <c r="Q20" s="233"/>
    </row>
    <row r="21" spans="2:17" s="20" customFormat="1" ht="15.75">
      <c r="B21" s="187"/>
      <c r="C21" s="8" t="s">
        <v>39</v>
      </c>
      <c r="D21" s="174" t="s">
        <v>75</v>
      </c>
      <c r="E21" s="174"/>
      <c r="F21" s="174"/>
      <c r="G21" s="174"/>
      <c r="H21" s="115" t="s">
        <v>11</v>
      </c>
      <c r="I21" s="18">
        <f>'Master Data'!T30+'Other Deduction'!B10</f>
        <v>30000</v>
      </c>
      <c r="J21" s="8" t="s">
        <v>40</v>
      </c>
      <c r="K21" s="227" t="s">
        <v>41</v>
      </c>
      <c r="L21" s="227"/>
      <c r="M21" s="227"/>
      <c r="N21" s="115" t="s">
        <v>11</v>
      </c>
      <c r="O21" s="18">
        <f>'Other Deduction'!E6</f>
        <v>0</v>
      </c>
      <c r="P21" s="234"/>
      <c r="Q21" s="235"/>
    </row>
    <row r="22" spans="2:17" s="20" customFormat="1" ht="15.75">
      <c r="B22" s="187"/>
      <c r="C22" s="8" t="s">
        <v>42</v>
      </c>
      <c r="D22" s="174" t="s">
        <v>76</v>
      </c>
      <c r="E22" s="174"/>
      <c r="F22" s="174"/>
      <c r="G22" s="174"/>
      <c r="H22" s="115" t="s">
        <v>11</v>
      </c>
      <c r="I22" s="18">
        <f>'Other Deduction'!B14</f>
        <v>0</v>
      </c>
      <c r="J22" s="8" t="s">
        <v>43</v>
      </c>
      <c r="K22" s="227" t="s">
        <v>17</v>
      </c>
      <c r="L22" s="227"/>
      <c r="M22" s="227"/>
      <c r="N22" s="115" t="s">
        <v>11</v>
      </c>
      <c r="O22" s="19">
        <f>'Other Deduction'!B15</f>
        <v>0</v>
      </c>
      <c r="P22" s="234"/>
      <c r="Q22" s="235"/>
    </row>
    <row r="23" spans="2:17" s="20" customFormat="1" ht="15.75">
      <c r="B23" s="187"/>
      <c r="C23" s="8" t="s">
        <v>44</v>
      </c>
      <c r="D23" s="174" t="s">
        <v>77</v>
      </c>
      <c r="E23" s="174"/>
      <c r="F23" s="174"/>
      <c r="G23" s="174"/>
      <c r="H23" s="115" t="s">
        <v>11</v>
      </c>
      <c r="I23" s="18">
        <f>'Other Deduction'!B16</f>
        <v>0</v>
      </c>
      <c r="J23" s="8" t="s">
        <v>45</v>
      </c>
      <c r="K23" s="227" t="s">
        <v>104</v>
      </c>
      <c r="L23" s="227"/>
      <c r="M23" s="227"/>
      <c r="N23" s="115" t="s">
        <v>11</v>
      </c>
      <c r="O23" s="19">
        <f>'Other Deduction'!B12</f>
        <v>0</v>
      </c>
      <c r="P23" s="234"/>
      <c r="Q23" s="235"/>
    </row>
    <row r="24" spans="2:17" s="20" customFormat="1" ht="15.75">
      <c r="B24" s="187"/>
      <c r="C24" s="8" t="s">
        <v>46</v>
      </c>
      <c r="D24" s="174" t="s">
        <v>78</v>
      </c>
      <c r="E24" s="174"/>
      <c r="F24" s="174"/>
      <c r="G24" s="174"/>
      <c r="H24" s="115" t="s">
        <v>11</v>
      </c>
      <c r="I24" s="18">
        <f>'Other Deduction'!B17</f>
        <v>0</v>
      </c>
      <c r="J24" s="8" t="s">
        <v>47</v>
      </c>
      <c r="K24" s="227" t="s">
        <v>107</v>
      </c>
      <c r="L24" s="227"/>
      <c r="M24" s="227"/>
      <c r="N24" s="115" t="s">
        <v>11</v>
      </c>
      <c r="O24" s="18">
        <f>'Other Deduction'!E15</f>
        <v>0</v>
      </c>
      <c r="P24" s="234"/>
      <c r="Q24" s="235"/>
    </row>
    <row r="25" spans="2:17" s="20" customFormat="1" ht="15.75">
      <c r="B25" s="187"/>
      <c r="C25" s="8" t="s">
        <v>48</v>
      </c>
      <c r="D25" s="174" t="s">
        <v>79</v>
      </c>
      <c r="E25" s="174"/>
      <c r="F25" s="174"/>
      <c r="G25" s="174"/>
      <c r="H25" s="115" t="s">
        <v>11</v>
      </c>
      <c r="I25" s="18">
        <f>IF('Master Data'!Z2="No",'Master Data'!O30,0)</f>
        <v>52815</v>
      </c>
      <c r="J25" s="8" t="s">
        <v>49</v>
      </c>
      <c r="K25" s="227" t="s">
        <v>106</v>
      </c>
      <c r="L25" s="227"/>
      <c r="M25" s="227"/>
      <c r="N25" s="115" t="s">
        <v>11</v>
      </c>
      <c r="O25" s="18">
        <f>'Other Deduction'!E16</f>
        <v>0</v>
      </c>
      <c r="P25" s="234"/>
      <c r="Q25" s="235"/>
    </row>
    <row r="26" spans="2:17" s="20" customFormat="1" ht="15.75">
      <c r="B26" s="187"/>
      <c r="C26" s="8" t="s">
        <v>50</v>
      </c>
      <c r="D26" s="183" t="s">
        <v>114</v>
      </c>
      <c r="E26" s="184"/>
      <c r="F26" s="184"/>
      <c r="G26" s="185"/>
      <c r="H26" s="115" t="s">
        <v>11</v>
      </c>
      <c r="I26" s="19">
        <f>IF(OR('Master Data'!U11=0,'Master Data'!U11=""),0,220)</f>
        <v>220</v>
      </c>
      <c r="J26" s="8" t="s">
        <v>51</v>
      </c>
      <c r="K26" s="231" t="s">
        <v>105</v>
      </c>
      <c r="L26" s="231"/>
      <c r="M26" s="231"/>
      <c r="N26" s="115" t="s">
        <v>11</v>
      </c>
      <c r="O26" s="18">
        <f>'Other Deduction'!B11</f>
        <v>0</v>
      </c>
      <c r="P26" s="234"/>
      <c r="Q26" s="235"/>
    </row>
    <row r="27" spans="2:17" s="20" customFormat="1" ht="15.75">
      <c r="B27" s="187"/>
      <c r="C27" s="8" t="s">
        <v>52</v>
      </c>
      <c r="D27" s="174" t="s">
        <v>9</v>
      </c>
      <c r="E27" s="174"/>
      <c r="F27" s="174"/>
      <c r="G27" s="174"/>
      <c r="H27" s="115" t="s">
        <v>11</v>
      </c>
      <c r="I27" s="19">
        <f>'Other Deduction'!B13</f>
        <v>0</v>
      </c>
      <c r="J27" s="8" t="s">
        <v>53</v>
      </c>
      <c r="K27" s="231" t="s">
        <v>150</v>
      </c>
      <c r="L27" s="231"/>
      <c r="M27" s="231"/>
      <c r="N27" s="115" t="s">
        <v>11</v>
      </c>
      <c r="O27" s="18">
        <f>'Other Deduction'!E5</f>
        <v>0</v>
      </c>
      <c r="P27" s="234"/>
      <c r="Q27" s="235"/>
    </row>
    <row r="28" spans="2:17" s="20" customFormat="1" ht="15.75">
      <c r="B28" s="187"/>
      <c r="C28" s="8" t="s">
        <v>54</v>
      </c>
      <c r="D28" s="174" t="s">
        <v>88</v>
      </c>
      <c r="E28" s="174"/>
      <c r="F28" s="174"/>
      <c r="G28" s="174"/>
      <c r="H28" s="115" t="s">
        <v>11</v>
      </c>
      <c r="I28" s="18">
        <f>'Master Data'!V30+'Other Deduction'!B8</f>
        <v>0</v>
      </c>
      <c r="J28" s="8" t="s">
        <v>157</v>
      </c>
      <c r="K28" s="231" t="s">
        <v>158</v>
      </c>
      <c r="L28" s="231"/>
      <c r="M28" s="231"/>
      <c r="N28" s="115" t="s">
        <v>11</v>
      </c>
      <c r="O28" s="18">
        <f>'Other Deduction'!B18</f>
        <v>0</v>
      </c>
      <c r="P28" s="234"/>
      <c r="Q28" s="235"/>
    </row>
    <row r="29" spans="2:17" s="20" customFormat="1" ht="15.75">
      <c r="B29" s="187"/>
      <c r="C29" s="228" t="s">
        <v>159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30"/>
      <c r="N29" s="115" t="s">
        <v>11</v>
      </c>
      <c r="O29" s="21">
        <f>SUM(I20:I28)+SUM(O20:O28)</f>
        <v>119035</v>
      </c>
      <c r="P29" s="236"/>
      <c r="Q29" s="237"/>
    </row>
    <row r="30" spans="2:17" s="20" customFormat="1" ht="15.75">
      <c r="B30" s="187"/>
      <c r="C30" s="182" t="s">
        <v>102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15" t="s">
        <v>11</v>
      </c>
      <c r="Q30" s="32">
        <v>0</v>
      </c>
    </row>
    <row r="31" spans="2:17" s="20" customFormat="1" ht="15.75">
      <c r="B31" s="187"/>
      <c r="C31" s="238" t="s">
        <v>122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40"/>
      <c r="P31" s="115"/>
      <c r="Q31" s="85">
        <f>IF('Master Data'!Z2="Yes",'Master Data'!O30,0)</f>
        <v>0</v>
      </c>
    </row>
    <row r="32" spans="2:17" s="20" customFormat="1" ht="15.75">
      <c r="B32" s="187"/>
      <c r="C32" s="179" t="s">
        <v>121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1"/>
      <c r="P32" s="115" t="s">
        <v>11</v>
      </c>
      <c r="Q32" s="33">
        <f>'Other Deduction'!E7</f>
        <v>0</v>
      </c>
    </row>
    <row r="33" spans="2:17" s="20" customFormat="1" ht="15.75">
      <c r="B33" s="188"/>
      <c r="C33" s="182" t="s">
        <v>110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15" t="s">
        <v>11</v>
      </c>
      <c r="Q33" s="32">
        <f>SUM(Q30:Q32)</f>
        <v>0</v>
      </c>
    </row>
    <row r="34" spans="2:17" s="20" customFormat="1" ht="15.75">
      <c r="B34" s="186">
        <v>12</v>
      </c>
      <c r="C34" s="175" t="s">
        <v>120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89"/>
    </row>
    <row r="35" spans="2:17" s="20" customFormat="1" ht="15.75">
      <c r="B35" s="187"/>
      <c r="C35" s="190" t="s">
        <v>178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2"/>
      <c r="P35" s="115" t="s">
        <v>11</v>
      </c>
      <c r="Q35" s="33">
        <f>'Other Deduction'!E8</f>
        <v>0</v>
      </c>
    </row>
    <row r="36" spans="2:17" s="20" customFormat="1" ht="15.75">
      <c r="B36" s="187"/>
      <c r="C36" s="174" t="s">
        <v>179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15" t="s">
        <v>11</v>
      </c>
      <c r="Q36" s="33">
        <f>'Other Deduction'!E9</f>
        <v>0</v>
      </c>
    </row>
    <row r="37" spans="2:17" s="20" customFormat="1" ht="15.75">
      <c r="B37" s="187"/>
      <c r="C37" s="174" t="s">
        <v>204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15" t="s">
        <v>11</v>
      </c>
      <c r="Q37" s="33">
        <f>'Other Deduction'!E10</f>
        <v>0</v>
      </c>
    </row>
    <row r="38" spans="2:17" s="20" customFormat="1" ht="15.75">
      <c r="B38" s="187"/>
      <c r="C38" s="174" t="s">
        <v>138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15" t="s">
        <v>11</v>
      </c>
      <c r="Q38" s="33">
        <f>'Other Deduction'!E11</f>
        <v>0</v>
      </c>
    </row>
    <row r="39" spans="2:17" s="20" customFormat="1" ht="15.75">
      <c r="B39" s="187"/>
      <c r="C39" s="174" t="s">
        <v>139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15" t="s">
        <v>11</v>
      </c>
      <c r="Q39" s="33">
        <f>'Other Deduction'!E12</f>
        <v>0</v>
      </c>
    </row>
    <row r="40" spans="2:17" s="20" customFormat="1" ht="15.75">
      <c r="B40" s="187"/>
      <c r="C40" s="190" t="s">
        <v>140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2"/>
      <c r="P40" s="115" t="s">
        <v>11</v>
      </c>
      <c r="Q40" s="33">
        <f>'Other Deduction'!E13</f>
        <v>0</v>
      </c>
    </row>
    <row r="41" spans="2:17" s="20" customFormat="1" ht="15.75">
      <c r="B41" s="187"/>
      <c r="C41" s="183" t="s">
        <v>182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  <c r="P41" s="115" t="s">
        <v>11</v>
      </c>
      <c r="Q41" s="33">
        <f>IF('Master Data'!P4="Yes",IF('Other Deduction'!E3&lt;50001,'Other Deduction'!E3,50000),IF('Other Deduction'!E3&lt;10001,'Other Deduction'!E3,10000))</f>
        <v>0</v>
      </c>
    </row>
    <row r="42" spans="2:17" s="20" customFormat="1" ht="15.75">
      <c r="B42" s="187"/>
      <c r="C42" s="183" t="s">
        <v>108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5"/>
      <c r="P42" s="115" t="s">
        <v>11</v>
      </c>
      <c r="Q42" s="33">
        <f>'Other Deduction'!E14</f>
        <v>0</v>
      </c>
    </row>
    <row r="43" spans="2:17" s="20" customFormat="1" ht="15.75">
      <c r="B43" s="188"/>
      <c r="C43" s="182" t="s">
        <v>55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15" t="s">
        <v>11</v>
      </c>
      <c r="Q43" s="34">
        <v>0</v>
      </c>
    </row>
    <row r="44" spans="2:17" s="20" customFormat="1" ht="15.75">
      <c r="B44" s="31">
        <v>13</v>
      </c>
      <c r="C44" s="175" t="s">
        <v>116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15" t="s">
        <v>11</v>
      </c>
      <c r="Q44" s="33">
        <f>Q33+Q43</f>
        <v>0</v>
      </c>
    </row>
    <row r="45" spans="2:17" s="20" customFormat="1" ht="15.75">
      <c r="B45" s="31">
        <v>14</v>
      </c>
      <c r="C45" s="174" t="s">
        <v>66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15" t="s">
        <v>11</v>
      </c>
      <c r="Q45" s="33">
        <f>(Q17-Q44)</f>
        <v>721773</v>
      </c>
    </row>
    <row r="46" spans="2:17" s="20" customFormat="1" ht="15.75">
      <c r="B46" s="31">
        <v>15</v>
      </c>
      <c r="C46" s="175" t="s">
        <v>161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15" t="s">
        <v>11</v>
      </c>
      <c r="Q46" s="32">
        <f>ROUND(Q45,-1)</f>
        <v>721770</v>
      </c>
    </row>
    <row r="47" spans="2:17" s="20" customFormat="1" ht="15.75">
      <c r="B47" s="186">
        <v>16</v>
      </c>
      <c r="C47" s="174" t="s">
        <v>56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99"/>
    </row>
    <row r="48" spans="2:17" s="20" customFormat="1" ht="15.75">
      <c r="B48" s="187"/>
      <c r="C48" s="200" t="s">
        <v>82</v>
      </c>
      <c r="D48" s="200"/>
      <c r="E48" s="200"/>
      <c r="F48" s="200"/>
      <c r="G48" s="200"/>
      <c r="H48" s="200" t="s">
        <v>97</v>
      </c>
      <c r="I48" s="200"/>
      <c r="J48" s="200"/>
      <c r="K48" s="200"/>
      <c r="L48" s="201" t="s">
        <v>115</v>
      </c>
      <c r="M48" s="202"/>
      <c r="N48" s="202"/>
      <c r="O48" s="203"/>
      <c r="P48" s="9"/>
      <c r="Q48" s="35"/>
    </row>
    <row r="49" spans="2:17" s="20" customFormat="1" ht="15.75">
      <c r="B49" s="187"/>
      <c r="C49" s="267" t="s">
        <v>205</v>
      </c>
      <c r="D49" s="268"/>
      <c r="E49" s="269"/>
      <c r="F49" s="271" t="s">
        <v>57</v>
      </c>
      <c r="G49" s="271"/>
      <c r="H49" s="176" t="s">
        <v>98</v>
      </c>
      <c r="I49" s="177"/>
      <c r="J49" s="178"/>
      <c r="K49" s="118" t="s">
        <v>57</v>
      </c>
      <c r="L49" s="176" t="s">
        <v>98</v>
      </c>
      <c r="M49" s="177"/>
      <c r="N49" s="178"/>
      <c r="O49" s="129" t="s">
        <v>57</v>
      </c>
      <c r="P49" s="115" t="s">
        <v>11</v>
      </c>
      <c r="Q49" s="36">
        <v>0</v>
      </c>
    </row>
    <row r="50" spans="2:17" s="20" customFormat="1" ht="15.75">
      <c r="B50" s="187"/>
      <c r="C50" s="267" t="s">
        <v>58</v>
      </c>
      <c r="D50" s="268"/>
      <c r="E50" s="269"/>
      <c r="F50" s="270">
        <v>0.05</v>
      </c>
      <c r="G50" s="271"/>
      <c r="H50" s="267" t="s">
        <v>58</v>
      </c>
      <c r="I50" s="268"/>
      <c r="J50" s="269"/>
      <c r="K50" s="117">
        <v>0.05</v>
      </c>
      <c r="L50" s="176" t="s">
        <v>84</v>
      </c>
      <c r="M50" s="177"/>
      <c r="N50" s="178"/>
      <c r="O50" s="128">
        <v>0.05</v>
      </c>
      <c r="P50" s="115" t="s">
        <v>11</v>
      </c>
      <c r="Q50" s="36">
        <f>ROUND(IF('Master Data'!P4="No",IF(Q46&lt;250001,0,IF(Q46&gt;500000,12500,((Q46-250000)*0.05))),IF(Q46&lt;300001,0,IF(Q46&gt;500000,10000,((Q46-300000)*0.05)))),0)</f>
        <v>12500</v>
      </c>
    </row>
    <row r="51" spans="2:17" s="20" customFormat="1" ht="15.75">
      <c r="B51" s="187"/>
      <c r="C51" s="267" t="s">
        <v>206</v>
      </c>
      <c r="D51" s="268"/>
      <c r="E51" s="269"/>
      <c r="F51" s="270">
        <v>0.1</v>
      </c>
      <c r="G51" s="271"/>
      <c r="H51" s="267" t="s">
        <v>206</v>
      </c>
      <c r="I51" s="268"/>
      <c r="J51" s="269"/>
      <c r="K51" s="117">
        <v>0.1</v>
      </c>
      <c r="L51" s="267" t="s">
        <v>206</v>
      </c>
      <c r="M51" s="268"/>
      <c r="N51" s="269"/>
      <c r="O51" s="126">
        <v>0.1</v>
      </c>
      <c r="P51" s="115" t="s">
        <v>11</v>
      </c>
      <c r="Q51" s="36">
        <f>IF(Q46&lt;500001,0,IF(Q46&gt;750000,25000,((Q46-500000)*0.1)))</f>
        <v>22177</v>
      </c>
    </row>
    <row r="52" spans="2:17" s="20" customFormat="1" ht="15.75">
      <c r="B52" s="187"/>
      <c r="C52" s="267" t="s">
        <v>207</v>
      </c>
      <c r="D52" s="268"/>
      <c r="E52" s="269"/>
      <c r="F52" s="270">
        <v>0.15</v>
      </c>
      <c r="G52" s="271"/>
      <c r="H52" s="267" t="s">
        <v>207</v>
      </c>
      <c r="I52" s="268"/>
      <c r="J52" s="269"/>
      <c r="K52" s="117">
        <v>0.15</v>
      </c>
      <c r="L52" s="267" t="s">
        <v>207</v>
      </c>
      <c r="M52" s="268"/>
      <c r="N52" s="269"/>
      <c r="O52" s="126">
        <v>0.15</v>
      </c>
      <c r="P52" s="119" t="s">
        <v>11</v>
      </c>
      <c r="Q52" s="36">
        <f>IF(Q46&lt;750001,0,IF(Q46&gt;100000,37500,((Q46-750000)*0.3/2)))</f>
        <v>0</v>
      </c>
    </row>
    <row r="53" spans="2:17" s="20" customFormat="1" ht="15.75">
      <c r="B53" s="187"/>
      <c r="C53" s="267" t="s">
        <v>208</v>
      </c>
      <c r="D53" s="268"/>
      <c r="E53" s="269"/>
      <c r="F53" s="270">
        <v>0.2</v>
      </c>
      <c r="G53" s="271"/>
      <c r="H53" s="267" t="s">
        <v>208</v>
      </c>
      <c r="I53" s="268"/>
      <c r="J53" s="269"/>
      <c r="K53" s="117">
        <v>0.2</v>
      </c>
      <c r="L53" s="267" t="s">
        <v>208</v>
      </c>
      <c r="M53" s="268"/>
      <c r="N53" s="269"/>
      <c r="O53" s="126">
        <v>0.2</v>
      </c>
      <c r="P53" s="119" t="s">
        <v>11</v>
      </c>
      <c r="Q53" s="36">
        <f>IF(Q46&lt;1000001,0,IF(Q46&gt;1250000,50000,((Q46-1000000)*0.2)))</f>
        <v>0</v>
      </c>
    </row>
    <row r="54" spans="2:17" s="20" customFormat="1" ht="15.75">
      <c r="B54" s="187"/>
      <c r="C54" s="267" t="s">
        <v>209</v>
      </c>
      <c r="D54" s="268"/>
      <c r="E54" s="269"/>
      <c r="F54" s="270">
        <v>0.25</v>
      </c>
      <c r="G54" s="271"/>
      <c r="H54" s="267" t="s">
        <v>209</v>
      </c>
      <c r="I54" s="268"/>
      <c r="J54" s="269"/>
      <c r="K54" s="117">
        <v>0.25</v>
      </c>
      <c r="L54" s="267" t="s">
        <v>209</v>
      </c>
      <c r="M54" s="268"/>
      <c r="N54" s="269"/>
      <c r="O54" s="126">
        <v>0.25</v>
      </c>
      <c r="P54" s="119" t="s">
        <v>11</v>
      </c>
      <c r="Q54" s="36">
        <f>IF(Q46&lt;1250001,0,IF(Q46&gt;1500000,62500,((Q4-1250000)*0.5/2)))</f>
        <v>0</v>
      </c>
    </row>
    <row r="55" spans="2:17" s="20" customFormat="1" ht="15.75">
      <c r="B55" s="187"/>
      <c r="C55" s="272" t="s">
        <v>210</v>
      </c>
      <c r="D55" s="273"/>
      <c r="E55" s="274"/>
      <c r="F55" s="270">
        <v>0.3</v>
      </c>
      <c r="G55" s="271"/>
      <c r="H55" s="272" t="s">
        <v>210</v>
      </c>
      <c r="I55" s="273"/>
      <c r="J55" s="274"/>
      <c r="K55" s="117">
        <v>0.3</v>
      </c>
      <c r="L55" s="272" t="s">
        <v>210</v>
      </c>
      <c r="M55" s="273"/>
      <c r="N55" s="274"/>
      <c r="O55" s="126">
        <v>0.3</v>
      </c>
      <c r="P55" s="115" t="s">
        <v>11</v>
      </c>
      <c r="Q55" s="36">
        <f>IF(Q46&lt;1500001,0,((Q46-1500000)*0.3))</f>
        <v>0</v>
      </c>
    </row>
    <row r="56" spans="2:17" s="20" customFormat="1" ht="15.75">
      <c r="B56" s="187"/>
      <c r="C56" s="194" t="s">
        <v>67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6"/>
      <c r="P56" s="115" t="s">
        <v>11</v>
      </c>
      <c r="Q56" s="32">
        <f>SUM(Q49:Q55)</f>
        <v>34677</v>
      </c>
    </row>
    <row r="57" spans="2:17" s="20" customFormat="1" ht="15.75">
      <c r="B57" s="187"/>
      <c r="C57" s="207" t="s">
        <v>183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9"/>
      <c r="P57" s="115" t="s">
        <v>11</v>
      </c>
      <c r="Q57" s="33">
        <f>IF(Q46&gt;500000,0,IF(Q56&lt;12501,Q56,12500))</f>
        <v>0</v>
      </c>
    </row>
    <row r="58" spans="2:17" s="20" customFormat="1" ht="15.75">
      <c r="B58" s="187"/>
      <c r="C58" s="194" t="s">
        <v>100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6"/>
      <c r="P58" s="115" t="s">
        <v>11</v>
      </c>
      <c r="Q58" s="32">
        <f>Q56-Q57</f>
        <v>34677</v>
      </c>
    </row>
    <row r="59" spans="2:17" s="20" customFormat="1" ht="15.75">
      <c r="B59" s="187"/>
      <c r="C59" s="197" t="s">
        <v>175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15" t="s">
        <v>11</v>
      </c>
      <c r="Q59" s="33">
        <f>ROUND(Q58*0.04,0)</f>
        <v>1387</v>
      </c>
    </row>
    <row r="60" spans="2:17" s="20" customFormat="1" ht="15.75">
      <c r="B60" s="188"/>
      <c r="C60" s="198" t="s">
        <v>101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15" t="s">
        <v>11</v>
      </c>
      <c r="Q60" s="32">
        <f>SUM(Q58:Q59)</f>
        <v>36064</v>
      </c>
    </row>
    <row r="61" spans="2:17" s="20" customFormat="1" ht="15.75">
      <c r="B61" s="31">
        <v>17</v>
      </c>
      <c r="C61" s="183" t="s">
        <v>68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5"/>
      <c r="P61" s="115" t="s">
        <v>11</v>
      </c>
      <c r="Q61" s="33">
        <f>'Other Deduction'!E17</f>
        <v>0</v>
      </c>
    </row>
    <row r="62" spans="2:17" s="20" customFormat="1" ht="15.75">
      <c r="B62" s="31">
        <v>18</v>
      </c>
      <c r="C62" s="175" t="s">
        <v>85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15" t="s">
        <v>11</v>
      </c>
      <c r="Q62" s="32">
        <f>Q60-Q61</f>
        <v>36064</v>
      </c>
    </row>
    <row r="63" spans="2:17" ht="31.5">
      <c r="B63" s="186">
        <v>19</v>
      </c>
      <c r="C63" s="220" t="s">
        <v>60</v>
      </c>
      <c r="D63" s="220"/>
      <c r="E63" s="221"/>
      <c r="F63" s="218" t="s">
        <v>196</v>
      </c>
      <c r="G63" s="218"/>
      <c r="H63" s="218"/>
      <c r="I63" s="218"/>
      <c r="J63" s="211" t="s">
        <v>197</v>
      </c>
      <c r="K63" s="219"/>
      <c r="L63" s="116" t="s">
        <v>198</v>
      </c>
      <c r="M63" s="211" t="s">
        <v>199</v>
      </c>
      <c r="N63" s="219"/>
      <c r="O63" s="116" t="s">
        <v>89</v>
      </c>
      <c r="P63" s="211" t="s">
        <v>160</v>
      </c>
      <c r="Q63" s="212"/>
    </row>
    <row r="64" spans="2:17" ht="15.75">
      <c r="B64" s="188"/>
      <c r="C64" s="222"/>
      <c r="D64" s="222"/>
      <c r="E64" s="223"/>
      <c r="F64" s="213">
        <f>SUM('Master Data'!X10:X16)</f>
        <v>0</v>
      </c>
      <c r="G64" s="213"/>
      <c r="H64" s="213"/>
      <c r="I64" s="213"/>
      <c r="J64" s="213">
        <f>SUM('Master Data'!X17:X19)</f>
        <v>0</v>
      </c>
      <c r="K64" s="213"/>
      <c r="L64" s="25">
        <f>'Master Data'!X20</f>
        <v>0</v>
      </c>
      <c r="M64" s="213">
        <f>'Master Data'!X21</f>
        <v>0</v>
      </c>
      <c r="N64" s="213"/>
      <c r="O64" s="69">
        <f>SUM('Master Data'!X22:X29)+'Other Deduction'!E18</f>
        <v>0</v>
      </c>
      <c r="P64" s="214">
        <f>F64+J64+L64+M64+O64</f>
        <v>0</v>
      </c>
      <c r="Q64" s="215"/>
    </row>
    <row r="65" spans="1:18" ht="16.5" thickBot="1">
      <c r="B65" s="216" t="str">
        <f>IF(Q62&gt;P64,"Income Tax Payable",IF(Q62&lt;P64,"Income Tax Refundable","Income Tax Payble/Refundable"))</f>
        <v>Income Tax Payable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37" t="s">
        <v>11</v>
      </c>
      <c r="Q65" s="38">
        <f>IF(Q62&gt;P64,Q62-P64,P64-Q62)</f>
        <v>36064</v>
      </c>
    </row>
    <row r="66" spans="1:18" ht="15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  <c r="Q66" s="45"/>
    </row>
    <row r="67" spans="1:18" ht="16.5">
      <c r="B67" s="10"/>
      <c r="C67" s="11"/>
      <c r="D67" s="11"/>
      <c r="E67" s="46" t="s">
        <v>117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3"/>
    </row>
    <row r="68" spans="1:18" ht="15.75">
      <c r="B68" s="10"/>
      <c r="C68" s="11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</row>
    <row r="69" spans="1:18" s="70" customFormat="1" ht="15.75">
      <c r="B69" s="71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</row>
    <row r="70" spans="1:18" s="70" customFormat="1" ht="15.75">
      <c r="B70" s="72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</row>
    <row r="71" spans="1:18" s="70" customFormat="1" ht="15.75">
      <c r="B71" s="71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</row>
    <row r="72" spans="1:18" s="70" customFormat="1" ht="15.75">
      <c r="B72" s="71"/>
      <c r="C72" s="73"/>
      <c r="D72" s="73"/>
      <c r="E72" s="73"/>
      <c r="F72" s="73"/>
      <c r="G72" s="73"/>
      <c r="H72" s="73"/>
      <c r="I72" s="73"/>
      <c r="J72" s="73"/>
      <c r="K72" s="73"/>
      <c r="L72" s="193"/>
      <c r="M72" s="193"/>
      <c r="N72" s="193"/>
      <c r="O72" s="193"/>
      <c r="P72" s="193"/>
      <c r="Q72" s="193"/>
    </row>
    <row r="73" spans="1:18" s="70" customFormat="1" ht="15.75">
      <c r="B73" s="71"/>
      <c r="C73" s="73"/>
      <c r="D73" s="73"/>
      <c r="E73" s="73"/>
      <c r="F73" s="73"/>
      <c r="G73" s="73"/>
      <c r="H73" s="73"/>
      <c r="I73" s="73"/>
      <c r="J73" s="73"/>
      <c r="K73" s="73"/>
      <c r="L73" s="193"/>
      <c r="M73" s="193"/>
      <c r="N73" s="193"/>
      <c r="O73" s="193"/>
      <c r="P73" s="193"/>
      <c r="Q73" s="193"/>
    </row>
    <row r="74" spans="1:18" s="70" customFormat="1" ht="15.75">
      <c r="B74" s="71"/>
      <c r="C74" s="73"/>
      <c r="D74" s="73"/>
      <c r="E74" s="73"/>
      <c r="F74" s="73"/>
      <c r="G74" s="73"/>
      <c r="H74" s="73"/>
      <c r="I74" s="73"/>
      <c r="J74" s="73"/>
      <c r="K74" s="73"/>
      <c r="L74" s="193"/>
      <c r="M74" s="193"/>
      <c r="N74" s="193"/>
      <c r="O74" s="193"/>
      <c r="P74" s="193"/>
      <c r="Q74" s="193"/>
    </row>
    <row r="75" spans="1:18" s="70" customFormat="1" ht="15.75">
      <c r="B75" s="71"/>
      <c r="C75" s="73"/>
      <c r="D75" s="73"/>
      <c r="E75" s="73"/>
      <c r="F75" s="73"/>
      <c r="G75" s="73"/>
      <c r="H75" s="73"/>
      <c r="I75" s="73"/>
      <c r="J75" s="73"/>
      <c r="K75" s="73"/>
      <c r="L75" s="193"/>
      <c r="M75" s="193"/>
      <c r="N75" s="193"/>
      <c r="O75" s="193"/>
      <c r="P75" s="193"/>
      <c r="Q75" s="193"/>
    </row>
    <row r="76" spans="1:18" s="70" customFormat="1" ht="15.75">
      <c r="B76" s="71"/>
      <c r="C76" s="73"/>
      <c r="D76" s="73"/>
      <c r="E76" s="73"/>
      <c r="F76" s="73"/>
      <c r="G76" s="73"/>
      <c r="H76" s="73"/>
      <c r="I76" s="73"/>
      <c r="J76" s="73"/>
      <c r="K76" s="73"/>
      <c r="L76" s="193"/>
      <c r="M76" s="193"/>
      <c r="N76" s="193"/>
      <c r="O76" s="193"/>
      <c r="P76" s="193"/>
      <c r="Q76" s="193"/>
    </row>
    <row r="77" spans="1:18" s="70" customFormat="1" ht="15.75">
      <c r="B77" s="72"/>
      <c r="C77" s="74"/>
      <c r="D77" s="263"/>
      <c r="E77" s="263"/>
      <c r="F77" s="263"/>
      <c r="G77" s="263"/>
      <c r="H77" s="263"/>
      <c r="I77" s="263"/>
      <c r="J77" s="263"/>
      <c r="K77" s="74"/>
      <c r="L77" s="193"/>
      <c r="M77" s="193"/>
      <c r="N77" s="193"/>
      <c r="O77" s="193"/>
      <c r="P77" s="193"/>
      <c r="Q77" s="193"/>
    </row>
    <row r="78" spans="1:18" s="70" customFormat="1" ht="15.75"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193"/>
      <c r="M78" s="193"/>
      <c r="N78" s="193"/>
      <c r="O78" s="193"/>
      <c r="P78" s="193"/>
      <c r="Q78" s="193"/>
    </row>
    <row r="79" spans="1:18" ht="15.75">
      <c r="A79" s="6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64"/>
      <c r="R79" s="60"/>
    </row>
    <row r="80" spans="1:18" ht="15.75">
      <c r="A80" s="6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3"/>
      <c r="Q80" s="64"/>
      <c r="R80" s="60"/>
    </row>
    <row r="81" spans="1:18" ht="15.75">
      <c r="A81" s="6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64"/>
      <c r="R81" s="60"/>
    </row>
    <row r="82" spans="1:18" ht="15.6" customHeight="1"/>
  </sheetData>
  <sheetProtection password="E4D2" sheet="1" objects="1" scenarios="1"/>
  <mergeCells count="131">
    <mergeCell ref="C69:Q71"/>
    <mergeCell ref="L72:Q78"/>
    <mergeCell ref="D77:J77"/>
    <mergeCell ref="P63:Q63"/>
    <mergeCell ref="F64:I64"/>
    <mergeCell ref="J64:K64"/>
    <mergeCell ref="M64:N64"/>
    <mergeCell ref="P64:Q64"/>
    <mergeCell ref="B65:O65"/>
    <mergeCell ref="C62:O62"/>
    <mergeCell ref="B63:B64"/>
    <mergeCell ref="C63:E64"/>
    <mergeCell ref="F63:I63"/>
    <mergeCell ref="J63:K63"/>
    <mergeCell ref="M63:N63"/>
    <mergeCell ref="C56:O56"/>
    <mergeCell ref="C57:O57"/>
    <mergeCell ref="C58:O58"/>
    <mergeCell ref="C59:O59"/>
    <mergeCell ref="C60:O60"/>
    <mergeCell ref="C61:O61"/>
    <mergeCell ref="B47:B60"/>
    <mergeCell ref="C47:Q47"/>
    <mergeCell ref="C48:G48"/>
    <mergeCell ref="H48:K48"/>
    <mergeCell ref="L48:O48"/>
    <mergeCell ref="C51:E51"/>
    <mergeCell ref="F51:G51"/>
    <mergeCell ref="H51:J51"/>
    <mergeCell ref="L51:N51"/>
    <mergeCell ref="C55:E55"/>
    <mergeCell ref="F55:G55"/>
    <mergeCell ref="H55:J55"/>
    <mergeCell ref="L55:N55"/>
    <mergeCell ref="C49:E49"/>
    <mergeCell ref="F49:G49"/>
    <mergeCell ref="H49:J49"/>
    <mergeCell ref="L49:N49"/>
    <mergeCell ref="C50:E50"/>
    <mergeCell ref="F50:G50"/>
    <mergeCell ref="H50:J50"/>
    <mergeCell ref="L50:N50"/>
    <mergeCell ref="C54:E54"/>
    <mergeCell ref="F54:G54"/>
    <mergeCell ref="H54:J54"/>
    <mergeCell ref="L54:N54"/>
    <mergeCell ref="C53:E53"/>
    <mergeCell ref="F53:G53"/>
    <mergeCell ref="H53:J53"/>
    <mergeCell ref="L53:N53"/>
    <mergeCell ref="B34:B43"/>
    <mergeCell ref="C34:Q34"/>
    <mergeCell ref="C35:O35"/>
    <mergeCell ref="C36:O36"/>
    <mergeCell ref="C37:O37"/>
    <mergeCell ref="C38:O38"/>
    <mergeCell ref="C39:O39"/>
    <mergeCell ref="C40:O40"/>
    <mergeCell ref="C41:O41"/>
    <mergeCell ref="C42:O42"/>
    <mergeCell ref="C43:O43"/>
    <mergeCell ref="K23:M23"/>
    <mergeCell ref="D24:G24"/>
    <mergeCell ref="K24:M24"/>
    <mergeCell ref="C30:O30"/>
    <mergeCell ref="C31:O31"/>
    <mergeCell ref="C32:O32"/>
    <mergeCell ref="D25:G25"/>
    <mergeCell ref="K25:M25"/>
    <mergeCell ref="D26:G26"/>
    <mergeCell ref="K26:M26"/>
    <mergeCell ref="D27:G27"/>
    <mergeCell ref="K27:M27"/>
    <mergeCell ref="B1:Q1"/>
    <mergeCell ref="B2:Q2"/>
    <mergeCell ref="C3:D3"/>
    <mergeCell ref="E3:J3"/>
    <mergeCell ref="L3:N3"/>
    <mergeCell ref="P3:Q3"/>
    <mergeCell ref="P11:Q13"/>
    <mergeCell ref="C12:D13"/>
    <mergeCell ref="E12:G12"/>
    <mergeCell ref="H12:J12"/>
    <mergeCell ref="K12:L12"/>
    <mergeCell ref="M12:O12"/>
    <mergeCell ref="P7:Q8"/>
    <mergeCell ref="C8:L8"/>
    <mergeCell ref="M8:O8"/>
    <mergeCell ref="C9:L9"/>
    <mergeCell ref="M9:O9"/>
    <mergeCell ref="C10:O10"/>
    <mergeCell ref="E13:G13"/>
    <mergeCell ref="H13:J13"/>
    <mergeCell ref="K13:L13"/>
    <mergeCell ref="M13:O13"/>
    <mergeCell ref="B11:B13"/>
    <mergeCell ref="C11:J11"/>
    <mergeCell ref="C4:O4"/>
    <mergeCell ref="C5:O5"/>
    <mergeCell ref="C6:O6"/>
    <mergeCell ref="B7:B9"/>
    <mergeCell ref="C7:L7"/>
    <mergeCell ref="M7:O7"/>
    <mergeCell ref="C14:O14"/>
    <mergeCell ref="C15:O15"/>
    <mergeCell ref="K11:L11"/>
    <mergeCell ref="M11:O11"/>
    <mergeCell ref="C16:O16"/>
    <mergeCell ref="C17:O17"/>
    <mergeCell ref="B18:B33"/>
    <mergeCell ref="C18:Q18"/>
    <mergeCell ref="C52:E52"/>
    <mergeCell ref="F52:G52"/>
    <mergeCell ref="H52:J52"/>
    <mergeCell ref="L52:N52"/>
    <mergeCell ref="C33:O33"/>
    <mergeCell ref="C44:O44"/>
    <mergeCell ref="C45:O45"/>
    <mergeCell ref="C46:O46"/>
    <mergeCell ref="C19:Q19"/>
    <mergeCell ref="D20:G20"/>
    <mergeCell ref="K20:M20"/>
    <mergeCell ref="P20:Q29"/>
    <mergeCell ref="D21:G21"/>
    <mergeCell ref="K21:M21"/>
    <mergeCell ref="D28:G28"/>
    <mergeCell ref="K28:M28"/>
    <mergeCell ref="C29:M29"/>
    <mergeCell ref="D22:G22"/>
    <mergeCell ref="K22:M22"/>
    <mergeCell ref="D23:G23"/>
  </mergeCells>
  <pageMargins left="0.7" right="0.5" top="0.31" bottom="0.16" header="0.3" footer="0.19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 Data</vt:lpstr>
      <vt:lpstr>Other Deduction</vt:lpstr>
      <vt:lpstr>Tax Calculation (Old)</vt:lpstr>
      <vt:lpstr>Tax Calculation (New)</vt:lpstr>
      <vt:lpstr>'Master Data'!Print_Area</vt:lpstr>
      <vt:lpstr>'Tax Calculation (New)'!Print_Area</vt:lpstr>
      <vt:lpstr>'Tax Calculation (Old)'!Print_Area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Windows User</cp:lastModifiedBy>
  <cp:lastPrinted>2020-08-30T20:33:45Z</cp:lastPrinted>
  <dcterms:created xsi:type="dcterms:W3CDTF">2013-12-06T08:14:36Z</dcterms:created>
  <dcterms:modified xsi:type="dcterms:W3CDTF">2020-08-31T08:52:25Z</dcterms:modified>
</cp:coreProperties>
</file>