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905" tabRatio="645"/>
  </bookViews>
  <sheets>
    <sheet name="TOTAL ARREAR" sheetId="1" r:id="rId1"/>
  </sheets>
  <definedNames>
    <definedName name="_xlnm.Print_Area" localSheetId="0">'TOTAL ARREAR'!$A$5:$R$26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P11" l="1"/>
  <c r="M10" l="1"/>
  <c r="F12" l="1"/>
  <c r="G11"/>
  <c r="C12"/>
  <c r="D11"/>
  <c r="Q11" s="1"/>
  <c r="I12" l="1"/>
  <c r="P12"/>
  <c r="J11"/>
  <c r="K11" s="1"/>
  <c r="H11"/>
  <c r="C13"/>
  <c r="G12"/>
  <c r="F13"/>
  <c r="F14" s="1"/>
  <c r="D12"/>
  <c r="Q12" s="1"/>
  <c r="D13" l="1"/>
  <c r="P13"/>
  <c r="C14"/>
  <c r="J12"/>
  <c r="K12" s="1"/>
  <c r="I13"/>
  <c r="H12"/>
  <c r="G13"/>
  <c r="E11"/>
  <c r="F15"/>
  <c r="G14"/>
  <c r="D14"/>
  <c r="I14" l="1"/>
  <c r="P14"/>
  <c r="Q13"/>
  <c r="L11"/>
  <c r="M11" s="1"/>
  <c r="R11"/>
  <c r="Q14"/>
  <c r="E12"/>
  <c r="R12" s="1"/>
  <c r="C15"/>
  <c r="J13"/>
  <c r="K13" s="1"/>
  <c r="E13"/>
  <c r="J14"/>
  <c r="K14" s="1"/>
  <c r="H13"/>
  <c r="G15"/>
  <c r="F16"/>
  <c r="H14"/>
  <c r="R13" l="1"/>
  <c r="I15"/>
  <c r="P15"/>
  <c r="C16"/>
  <c r="P16" s="1"/>
  <c r="D15"/>
  <c r="N11"/>
  <c r="L12"/>
  <c r="M12" s="1"/>
  <c r="I16"/>
  <c r="F17"/>
  <c r="G16"/>
  <c r="H15"/>
  <c r="D16"/>
  <c r="Q16" s="1"/>
  <c r="C17"/>
  <c r="P17" l="1"/>
  <c r="E14"/>
  <c r="R14" s="1"/>
  <c r="Q15"/>
  <c r="O11"/>
  <c r="J15"/>
  <c r="K15" s="1"/>
  <c r="I17"/>
  <c r="L14"/>
  <c r="M14" s="1"/>
  <c r="E15"/>
  <c r="R15" s="1"/>
  <c r="J16"/>
  <c r="K16" s="1"/>
  <c r="L13"/>
  <c r="M13" s="1"/>
  <c r="G17"/>
  <c r="E16"/>
  <c r="R16" s="1"/>
  <c r="H16"/>
  <c r="F18"/>
  <c r="C18"/>
  <c r="D17"/>
  <c r="Q17" s="1"/>
  <c r="P18" l="1"/>
  <c r="N12"/>
  <c r="I18"/>
  <c r="L15"/>
  <c r="M15" s="1"/>
  <c r="J17"/>
  <c r="K17" s="1"/>
  <c r="N13"/>
  <c r="O13" s="1"/>
  <c r="N14"/>
  <c r="O14" s="1"/>
  <c r="G18"/>
  <c r="F19"/>
  <c r="F20" s="1"/>
  <c r="H17"/>
  <c r="C19"/>
  <c r="P19" s="1"/>
  <c r="P20" s="1"/>
  <c r="D18"/>
  <c r="Q18" l="1"/>
  <c r="O12"/>
  <c r="E17"/>
  <c r="R17" s="1"/>
  <c r="J18"/>
  <c r="K18" s="1"/>
  <c r="L16"/>
  <c r="M16" s="1"/>
  <c r="I19"/>
  <c r="N15"/>
  <c r="O15" s="1"/>
  <c r="G19"/>
  <c r="C20"/>
  <c r="H18"/>
  <c r="H19"/>
  <c r="D19"/>
  <c r="Q19" s="1"/>
  <c r="Q20" s="1"/>
  <c r="I20" l="1"/>
  <c r="L17"/>
  <c r="M17" s="1"/>
  <c r="J19"/>
  <c r="J20" s="1"/>
  <c r="N16"/>
  <c r="O16" s="1"/>
  <c r="E18"/>
  <c r="R18" s="1"/>
  <c r="D20"/>
  <c r="H20"/>
  <c r="G20"/>
  <c r="E19"/>
  <c r="R19" s="1"/>
  <c r="R20" s="1"/>
  <c r="K19" l="1"/>
  <c r="L18"/>
  <c r="M18" s="1"/>
  <c r="N17"/>
  <c r="O17" s="1"/>
  <c r="E20"/>
  <c r="K20" l="1"/>
  <c r="I22" s="1"/>
  <c r="L19"/>
  <c r="L20" s="1"/>
  <c r="N18"/>
  <c r="O18" s="1"/>
  <c r="I23" l="1"/>
  <c r="I25" s="1"/>
  <c r="I24"/>
  <c r="M19"/>
  <c r="N19" s="1"/>
  <c r="M20" l="1"/>
  <c r="N20"/>
  <c r="O19"/>
  <c r="O20" s="1"/>
</calcChain>
</file>

<file path=xl/sharedStrings.xml><?xml version="1.0" encoding="utf-8"?>
<sst xmlns="http://schemas.openxmlformats.org/spreadsheetml/2006/main" count="38" uniqueCount="28">
  <si>
    <t>Pay</t>
  </si>
  <si>
    <t>DA</t>
  </si>
  <si>
    <t>TOTAL</t>
  </si>
  <si>
    <t>Post-</t>
  </si>
  <si>
    <t>Name of Employee-</t>
  </si>
  <si>
    <t>Chandra Prakash Kurmi</t>
  </si>
  <si>
    <t>Lecturer</t>
  </si>
  <si>
    <t>Office Of the Principal, GSSS Todaraisingh (Tonk)</t>
  </si>
  <si>
    <t>7th Pay Fixation Arrear From 01/01/2017 to 30/09/2017</t>
  </si>
  <si>
    <t>Month</t>
  </si>
  <si>
    <t>Due</t>
  </si>
  <si>
    <t xml:space="preserve"> Drawn</t>
  </si>
  <si>
    <t xml:space="preserve"> Total</t>
  </si>
  <si>
    <t>Deduction</t>
  </si>
  <si>
    <t>Income Tax</t>
  </si>
  <si>
    <t>No</t>
  </si>
  <si>
    <t>TOTAL DEDUCTION</t>
  </si>
  <si>
    <t xml:space="preserve">NET PAYABLE </t>
  </si>
  <si>
    <t>S.No.</t>
  </si>
  <si>
    <r>
      <t xml:space="preserve">D;k vki </t>
    </r>
    <r>
      <rPr>
        <b/>
        <sz val="13"/>
        <color theme="1"/>
        <rFont val="Calibri Light"/>
        <family val="2"/>
        <scheme val="major"/>
      </rPr>
      <t>NPS Employee</t>
    </r>
    <r>
      <rPr>
        <b/>
        <sz val="16"/>
        <color theme="1"/>
        <rFont val="Calibri Light"/>
        <family val="2"/>
        <scheme val="major"/>
      </rPr>
      <t xml:space="preserve"> </t>
    </r>
    <r>
      <rPr>
        <b/>
        <sz val="16"/>
        <color theme="1"/>
        <rFont val="DevLys 010"/>
      </rPr>
      <t xml:space="preserve">gSA </t>
    </r>
    <r>
      <rPr>
        <b/>
        <sz val="13"/>
        <color theme="1"/>
        <rFont val="Calibri Light"/>
        <family val="2"/>
        <scheme val="major"/>
      </rPr>
      <t>Drop Down Menu</t>
    </r>
    <r>
      <rPr>
        <b/>
        <sz val="16"/>
        <color theme="1"/>
        <rFont val="Calibri Light"/>
        <family val="2"/>
        <scheme val="major"/>
      </rPr>
      <t xml:space="preserve"> </t>
    </r>
    <r>
      <rPr>
        <b/>
        <sz val="16"/>
        <color theme="1"/>
        <rFont val="DevLys 010"/>
      </rPr>
      <t>esa ls</t>
    </r>
    <r>
      <rPr>
        <b/>
        <sz val="16"/>
        <color theme="1"/>
        <rFont val="Calibri Light"/>
        <family val="2"/>
        <scheme val="major"/>
      </rPr>
      <t xml:space="preserve"> </t>
    </r>
    <r>
      <rPr>
        <b/>
        <sz val="13"/>
        <color theme="1"/>
        <rFont val="Calibri Light"/>
        <family val="2"/>
        <scheme val="major"/>
      </rPr>
      <t>Yes / No</t>
    </r>
    <r>
      <rPr>
        <b/>
        <sz val="16"/>
        <color theme="1"/>
        <rFont val="DevLys 010"/>
      </rPr>
      <t xml:space="preserve"> pqusaA </t>
    </r>
  </si>
  <si>
    <t>D;k vki isa'kuj gSA</t>
  </si>
  <si>
    <r>
      <t xml:space="preserve">Tax Slab in %,  </t>
    </r>
    <r>
      <rPr>
        <b/>
        <sz val="16"/>
        <color theme="1"/>
        <rFont val="DevLys 010"/>
      </rPr>
      <t>tks vki ,fj;j esa ls dVokuk pkgrs gSA</t>
    </r>
  </si>
  <si>
    <t>30% Difference</t>
  </si>
  <si>
    <t>100% Difference</t>
  </si>
  <si>
    <t>Salary Arrear First Installment 30%</t>
  </si>
  <si>
    <t>Salary Arrear Second Installment 30%</t>
  </si>
  <si>
    <t>Total salary Arrear</t>
  </si>
  <si>
    <t>Salary Arrear Third Installment 40%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</si>
</sst>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Kruti Dev 010"/>
    </font>
    <font>
      <sz val="16"/>
      <name val="Kruti Dev 010"/>
    </font>
    <font>
      <b/>
      <sz val="11"/>
      <name val="Calibri"/>
      <family val="2"/>
      <scheme val="minor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DevLys 010"/>
    </font>
    <font>
      <b/>
      <sz val="13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/>
      <protection hidden="1"/>
    </xf>
    <xf numFmtId="17" fontId="11" fillId="8" borderId="2" xfId="0" applyNumberFormat="1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center"/>
      <protection hidden="1"/>
    </xf>
    <xf numFmtId="17" fontId="11" fillId="8" borderId="3" xfId="0" applyNumberFormat="1" applyFont="1" applyFill="1" applyBorder="1" applyAlignment="1" applyProtection="1">
      <alignment horizontal="center" vertical="center"/>
      <protection hidden="1"/>
    </xf>
    <xf numFmtId="17" fontId="11" fillId="8" borderId="2" xfId="0" applyNumberFormat="1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locked="0"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3" fillId="5" borderId="2" xfId="0" applyNumberFormat="1" applyFont="1" applyFill="1" applyBorder="1" applyAlignment="1" applyProtection="1">
      <alignment horizontal="center" vertical="center"/>
      <protection hidden="1"/>
    </xf>
    <xf numFmtId="0" fontId="11" fillId="9" borderId="6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 vertical="center" wrapText="1"/>
      <protection hidden="1"/>
    </xf>
    <xf numFmtId="0" fontId="11" fillId="9" borderId="6" xfId="0" applyFont="1" applyFill="1" applyBorder="1" applyAlignment="1" applyProtection="1">
      <alignment horizontal="center" vertical="center"/>
      <protection hidden="1"/>
    </xf>
    <xf numFmtId="0" fontId="11" fillId="9" borderId="1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 hidden="1"/>
    </xf>
    <xf numFmtId="0" fontId="4" fillId="9" borderId="1" xfId="0" applyFont="1" applyFill="1" applyBorder="1" applyAlignment="1" applyProtection="1">
      <alignment horizontal="center" vertical="center"/>
      <protection locked="0"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locked="0" hidden="1"/>
    </xf>
    <xf numFmtId="0" fontId="4" fillId="9" borderId="9" xfId="0" applyFont="1" applyFill="1" applyBorder="1" applyAlignment="1" applyProtection="1">
      <alignment horizontal="center" vertical="center"/>
      <protection locked="0" hidden="1"/>
    </xf>
    <xf numFmtId="0" fontId="4" fillId="9" borderId="9" xfId="0" applyFont="1" applyFill="1" applyBorder="1" applyAlignment="1" applyProtection="1">
      <alignment horizontal="center" vertical="center"/>
      <protection hidden="1"/>
    </xf>
    <xf numFmtId="0" fontId="3" fillId="9" borderId="2" xfId="0" applyNumberFormat="1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locked="0"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locked="0"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12" fillId="10" borderId="2" xfId="0" applyFont="1" applyFill="1" applyBorder="1" applyAlignment="1" applyProtection="1">
      <alignment horizontal="center" vertical="center" wrapText="1"/>
      <protection hidden="1"/>
    </xf>
    <xf numFmtId="0" fontId="12" fillId="10" borderId="7" xfId="0" applyFont="1" applyFill="1" applyBorder="1" applyAlignment="1" applyProtection="1">
      <alignment horizontal="center" vertical="center" wrapText="1"/>
      <protection hidden="1"/>
    </xf>
    <xf numFmtId="0" fontId="13" fillId="10" borderId="7" xfId="0" applyFont="1" applyFill="1" applyBorder="1" applyAlignment="1" applyProtection="1">
      <alignment horizontal="center" vertical="center" wrapText="1"/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10" borderId="9" xfId="0" applyFont="1" applyFill="1" applyBorder="1" applyAlignment="1" applyProtection="1">
      <alignment horizontal="center" vertical="center"/>
      <protection hidden="1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 applyProtection="1">
      <alignment horizontal="center" vertical="center"/>
      <protection hidden="1"/>
    </xf>
    <xf numFmtId="0" fontId="13" fillId="10" borderId="10" xfId="0" applyFont="1" applyFill="1" applyBorder="1" applyAlignment="1" applyProtection="1">
      <alignment horizontal="center" vertical="center" wrapText="1"/>
      <protection hidden="1"/>
    </xf>
    <xf numFmtId="0" fontId="13" fillId="10" borderId="5" xfId="0" applyFont="1" applyFill="1" applyBorder="1" applyAlignment="1" applyProtection="1">
      <alignment horizontal="center" vertical="center" wrapText="1"/>
      <protection hidden="1"/>
    </xf>
    <xf numFmtId="0" fontId="3" fillId="10" borderId="5" xfId="0" applyFont="1" applyFill="1" applyBorder="1" applyAlignment="1" applyProtection="1">
      <alignment horizontal="center" vertical="center"/>
      <protection hidden="1"/>
    </xf>
    <xf numFmtId="0" fontId="3" fillId="10" borderId="4" xfId="0" applyFont="1" applyFill="1" applyBorder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 vertical="center"/>
      <protection hidden="1"/>
    </xf>
    <xf numFmtId="0" fontId="21" fillId="9" borderId="2" xfId="0" applyFont="1" applyFill="1" applyBorder="1" applyAlignment="1" applyProtection="1">
      <alignment horizontal="center" vertical="center"/>
      <protection hidden="1"/>
    </xf>
    <xf numFmtId="0" fontId="4" fillId="11" borderId="6" xfId="0" applyFont="1" applyFill="1" applyBorder="1" applyAlignment="1" applyProtection="1">
      <alignment horizontal="center" vertical="center"/>
      <protection locked="0" hidden="1"/>
    </xf>
    <xf numFmtId="0" fontId="4" fillId="11" borderId="1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locked="0" hidden="1"/>
    </xf>
    <xf numFmtId="0" fontId="10" fillId="2" borderId="0" xfId="2" applyFont="1" applyFill="1" applyAlignment="1" applyProtection="1">
      <alignment horizontal="center" vertical="center"/>
      <protection locked="0" hidden="1"/>
    </xf>
    <xf numFmtId="0" fontId="8" fillId="2" borderId="0" xfId="0" applyFont="1" applyFill="1" applyProtection="1">
      <protection hidden="1"/>
    </xf>
    <xf numFmtId="0" fontId="9" fillId="2" borderId="0" xfId="2" applyFont="1" applyFill="1" applyAlignment="1" applyProtection="1">
      <alignment horizontal="right" vertical="center"/>
      <protection hidden="1"/>
    </xf>
    <xf numFmtId="0" fontId="9" fillId="2" borderId="0" xfId="2" applyFont="1" applyFill="1" applyAlignment="1" applyProtection="1">
      <alignment horizontal="left" vertical="center" indent="1"/>
      <protection locked="0" hidden="1"/>
    </xf>
    <xf numFmtId="0" fontId="9" fillId="2" borderId="0" xfId="2" applyFont="1" applyFill="1" applyBorder="1" applyAlignment="1" applyProtection="1">
      <alignment vertical="center"/>
      <protection hidden="1"/>
    </xf>
    <xf numFmtId="0" fontId="9" fillId="2" borderId="0" xfId="2" applyFont="1" applyFill="1" applyBorder="1" applyAlignment="1" applyProtection="1">
      <alignment horizontal="left" vertical="center" indent="1"/>
      <protection locked="0"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5" fillId="3" borderId="2" xfId="0" applyFont="1" applyFill="1" applyBorder="1" applyAlignment="1" applyProtection="1">
      <alignment horizontal="center" vertical="center"/>
      <protection locked="0"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20" fillId="3" borderId="2" xfId="1" applyNumberFormat="1" applyFont="1" applyFill="1" applyBorder="1" applyAlignment="1" applyProtection="1">
      <alignment horizontal="center" vertical="center"/>
      <protection locked="0" hidden="1"/>
    </xf>
    <xf numFmtId="0" fontId="14" fillId="5" borderId="2" xfId="0" applyFont="1" applyFill="1" applyBorder="1" applyAlignment="1" applyProtection="1">
      <alignment horizontal="center"/>
      <protection hidden="1"/>
    </xf>
    <xf numFmtId="0" fontId="14" fillId="4" borderId="2" xfId="0" applyFont="1" applyFill="1" applyBorder="1" applyAlignment="1" applyProtection="1">
      <alignment horizontal="center"/>
      <protection hidden="1"/>
    </xf>
    <xf numFmtId="0" fontId="14" fillId="6" borderId="2" xfId="0" applyFont="1" applyFill="1" applyBorder="1" applyAlignment="1" applyProtection="1">
      <alignment horizontal="center"/>
      <protection hidden="1"/>
    </xf>
    <xf numFmtId="0" fontId="14" fillId="8" borderId="2" xfId="0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0" fontId="22" fillId="8" borderId="2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1</xdr:row>
      <xdr:rowOff>133350</xdr:rowOff>
    </xdr:from>
    <xdr:to>
      <xdr:col>14</xdr:col>
      <xdr:colOff>257175</xdr:colOff>
      <xdr:row>2</xdr:row>
      <xdr:rowOff>28575</xdr:rowOff>
    </xdr:to>
    <xdr:sp macro="" textlink="">
      <xdr:nvSpPr>
        <xdr:cNvPr id="2" name="Right Arrow 1"/>
        <xdr:cNvSpPr/>
      </xdr:nvSpPr>
      <xdr:spPr>
        <a:xfrm>
          <a:off x="8181975" y="238125"/>
          <a:ext cx="6762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13</xdr:col>
      <xdr:colOff>257175</xdr:colOff>
      <xdr:row>2</xdr:row>
      <xdr:rowOff>57150</xdr:rowOff>
    </xdr:from>
    <xdr:to>
      <xdr:col>14</xdr:col>
      <xdr:colOff>438150</xdr:colOff>
      <xdr:row>2</xdr:row>
      <xdr:rowOff>361950</xdr:rowOff>
    </xdr:to>
    <xdr:sp macro="" textlink="">
      <xdr:nvSpPr>
        <xdr:cNvPr id="3" name="Right Arrow 2"/>
        <xdr:cNvSpPr/>
      </xdr:nvSpPr>
      <xdr:spPr>
        <a:xfrm>
          <a:off x="8115300" y="571500"/>
          <a:ext cx="92392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13</xdr:col>
      <xdr:colOff>209550</xdr:colOff>
      <xdr:row>3</xdr:row>
      <xdr:rowOff>76200</xdr:rowOff>
    </xdr:from>
    <xdr:to>
      <xdr:col>14</xdr:col>
      <xdr:colOff>552450</xdr:colOff>
      <xdr:row>3</xdr:row>
      <xdr:rowOff>381000</xdr:rowOff>
    </xdr:to>
    <xdr:sp macro="" textlink="">
      <xdr:nvSpPr>
        <xdr:cNvPr id="4" name="Right Arrow 3"/>
        <xdr:cNvSpPr/>
      </xdr:nvSpPr>
      <xdr:spPr>
        <a:xfrm>
          <a:off x="8067675" y="1000125"/>
          <a:ext cx="10858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Normal="100" workbookViewId="0">
      <selection activeCell="T1" sqref="T1:XFD1048576"/>
    </sheetView>
  </sheetViews>
  <sheetFormatPr defaultColWidth="0" defaultRowHeight="15" zeroHeight="1"/>
  <cols>
    <col min="1" max="1" width="5.85546875" style="1" customWidth="1"/>
    <col min="2" max="2" width="16" style="1" customWidth="1"/>
    <col min="3" max="3" width="8.140625" style="1" customWidth="1"/>
    <col min="4" max="4" width="8.42578125" style="1" customWidth="1"/>
    <col min="5" max="5" width="8.28515625" style="1" customWidth="1"/>
    <col min="6" max="6" width="8.7109375" style="1" customWidth="1"/>
    <col min="7" max="7" width="8.140625" style="1" customWidth="1"/>
    <col min="8" max="8" width="12" style="1" bestFit="1" customWidth="1"/>
    <col min="9" max="9" width="8.5703125" style="1" customWidth="1"/>
    <col min="10" max="10" width="9.140625" style="1" customWidth="1"/>
    <col min="11" max="11" width="8.28515625" style="1" customWidth="1"/>
    <col min="12" max="13" width="9.5703125" style="1" customWidth="1"/>
    <col min="14" max="15" width="11.140625" style="1" customWidth="1"/>
    <col min="16" max="16" width="12" style="1" bestFit="1" customWidth="1"/>
    <col min="17" max="17" width="13.42578125" style="1" bestFit="1" customWidth="1"/>
    <col min="18" max="18" width="10.42578125" style="1" bestFit="1" customWidth="1"/>
    <col min="19" max="19" width="9.140625" style="1" customWidth="1"/>
    <col min="20" max="22" width="0" style="1" hidden="1"/>
    <col min="23" max="16384" width="9.140625" style="1" hidden="1"/>
  </cols>
  <sheetData>
    <row r="1" spans="1:22" ht="8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2" ht="32.25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3" t="s">
        <v>15</v>
      </c>
      <c r="Q2" s="63"/>
      <c r="R2" s="63"/>
      <c r="S2" s="52"/>
      <c r="T2" s="52"/>
      <c r="U2" s="52"/>
    </row>
    <row r="3" spans="1:22" ht="32.25" customHeight="1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>
        <v>20</v>
      </c>
      <c r="Q3" s="65"/>
      <c r="R3" s="65"/>
      <c r="S3" s="52"/>
      <c r="T3" s="52"/>
      <c r="U3" s="52"/>
    </row>
    <row r="4" spans="1:22" ht="32.25" customHeight="1">
      <c r="A4" s="3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3" t="s">
        <v>15</v>
      </c>
      <c r="Q4" s="63"/>
      <c r="R4" s="63"/>
      <c r="S4" s="52"/>
      <c r="T4" s="52"/>
      <c r="U4" s="52"/>
    </row>
    <row r="5" spans="1:22" ht="20.25" customHeight="1">
      <c r="A5" s="53"/>
      <c r="B5" s="54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2"/>
      <c r="Q5" s="52"/>
      <c r="R5" s="52"/>
      <c r="S5" s="52"/>
      <c r="T5" s="52"/>
      <c r="U5" s="52"/>
    </row>
    <row r="6" spans="1:22" ht="18.75" customHeight="1">
      <c r="A6" s="55"/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2"/>
      <c r="Q6" s="52"/>
      <c r="R6" s="52"/>
      <c r="S6" s="52"/>
      <c r="T6" s="52"/>
      <c r="U6" s="52"/>
    </row>
    <row r="7" spans="1:22" ht="18.75" customHeight="1">
      <c r="A7" s="56" t="s">
        <v>4</v>
      </c>
      <c r="B7" s="56"/>
      <c r="C7" s="56"/>
      <c r="D7" s="57" t="s">
        <v>5</v>
      </c>
      <c r="E7" s="57"/>
      <c r="F7" s="57"/>
      <c r="G7" s="57"/>
      <c r="H7" s="57"/>
      <c r="I7" s="52"/>
      <c r="J7" s="52"/>
      <c r="K7" s="52"/>
      <c r="L7" s="58" t="s">
        <v>3</v>
      </c>
      <c r="M7" s="59" t="s">
        <v>6</v>
      </c>
      <c r="N7" s="59"/>
      <c r="O7" s="52"/>
      <c r="P7" s="52"/>
      <c r="Q7" s="52"/>
      <c r="R7" s="52"/>
      <c r="S7" s="52"/>
      <c r="T7" s="52"/>
      <c r="U7" s="52"/>
    </row>
    <row r="8" spans="1:22" ht="9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2" s="2" customFormat="1" ht="24.75" customHeight="1">
      <c r="A9" s="4" t="s">
        <v>18</v>
      </c>
      <c r="B9" s="4" t="s">
        <v>9</v>
      </c>
      <c r="C9" s="17" t="s">
        <v>10</v>
      </c>
      <c r="D9" s="18"/>
      <c r="E9" s="18"/>
      <c r="F9" s="10" t="s">
        <v>11</v>
      </c>
      <c r="G9" s="10"/>
      <c r="H9" s="10"/>
      <c r="I9" s="28" t="s">
        <v>22</v>
      </c>
      <c r="J9" s="28"/>
      <c r="K9" s="28"/>
      <c r="L9" s="35" t="s">
        <v>13</v>
      </c>
      <c r="M9" s="35"/>
      <c r="N9" s="35"/>
      <c r="O9" s="42" t="s">
        <v>17</v>
      </c>
      <c r="P9" s="47" t="s">
        <v>23</v>
      </c>
      <c r="Q9" s="47"/>
      <c r="R9" s="47"/>
      <c r="S9" s="62"/>
      <c r="T9" s="62"/>
      <c r="U9" s="62"/>
      <c r="V9" s="62"/>
    </row>
    <row r="10" spans="1:22" s="2" customFormat="1" ht="41.25" customHeight="1">
      <c r="A10" s="4"/>
      <c r="B10" s="4"/>
      <c r="C10" s="19" t="s">
        <v>0</v>
      </c>
      <c r="D10" s="20" t="s">
        <v>1</v>
      </c>
      <c r="E10" s="20" t="s">
        <v>2</v>
      </c>
      <c r="F10" s="11" t="s">
        <v>0</v>
      </c>
      <c r="G10" s="11" t="s">
        <v>1</v>
      </c>
      <c r="H10" s="11" t="s">
        <v>2</v>
      </c>
      <c r="I10" s="29" t="s">
        <v>0</v>
      </c>
      <c r="J10" s="29" t="s">
        <v>1</v>
      </c>
      <c r="K10" s="29" t="s">
        <v>2</v>
      </c>
      <c r="L10" s="36" t="s">
        <v>14</v>
      </c>
      <c r="M10" s="36" t="str">
        <f>IF('TOTAL ARREAR'!$P$2="Yes","ECPF.","GPF.")</f>
        <v>GPF.</v>
      </c>
      <c r="N10" s="37" t="s">
        <v>16</v>
      </c>
      <c r="O10" s="43"/>
      <c r="P10" s="48" t="s">
        <v>0</v>
      </c>
      <c r="Q10" s="48" t="s">
        <v>1</v>
      </c>
      <c r="R10" s="48" t="s">
        <v>2</v>
      </c>
      <c r="S10" s="62"/>
      <c r="T10" s="62"/>
      <c r="U10" s="62"/>
      <c r="V10" s="62"/>
    </row>
    <row r="11" spans="1:22" ht="21" customHeight="1">
      <c r="A11" s="5">
        <v>1</v>
      </c>
      <c r="B11" s="6">
        <v>42736</v>
      </c>
      <c r="C11" s="50">
        <v>69200</v>
      </c>
      <c r="D11" s="22">
        <f>ROUND((C11*4%),0)</f>
        <v>2768</v>
      </c>
      <c r="E11" s="23">
        <f>SUM(C12:D12)</f>
        <v>71968</v>
      </c>
      <c r="F11" s="51">
        <v>26230</v>
      </c>
      <c r="G11" s="12">
        <f>ROUND((F11*136%),0)</f>
        <v>35673</v>
      </c>
      <c r="H11" s="13">
        <f>SUM(F11:G11)</f>
        <v>61903</v>
      </c>
      <c r="I11" s="30">
        <f>ROUND((C11*30%-F11*30%),0)</f>
        <v>12891</v>
      </c>
      <c r="J11" s="30">
        <f t="shared" ref="J11:J19" si="0">ROUND((D11*30%-G11*30%),0)</f>
        <v>-9872</v>
      </c>
      <c r="K11" s="31">
        <f t="shared" ref="K11:K19" si="1">I11+J11</f>
        <v>3019</v>
      </c>
      <c r="L11" s="38">
        <f>ROUND(IF($P$3=5,K11*0.05,IF($P$3=10,K11*0.1,IF($P$3=20,K11*0.2,K11*0.3))),0)</f>
        <v>604</v>
      </c>
      <c r="M11" s="38">
        <f>IF($P$4="Yes",0,IF($P$2="Yes",ROUND(K11*0.1,0),K11-L11))</f>
        <v>2415</v>
      </c>
      <c r="N11" s="38">
        <f>SUM(L11:M11)</f>
        <v>3019</v>
      </c>
      <c r="O11" s="44">
        <f>K11-N11</f>
        <v>0</v>
      </c>
      <c r="P11" s="49">
        <f>C11-F11</f>
        <v>42970</v>
      </c>
      <c r="Q11" s="49">
        <f>D11-G11</f>
        <v>-32905</v>
      </c>
      <c r="R11" s="49">
        <f>E11-H11</f>
        <v>10065</v>
      </c>
      <c r="S11" s="52"/>
      <c r="T11" s="52"/>
      <c r="U11" s="52"/>
      <c r="V11" s="52"/>
    </row>
    <row r="12" spans="1:22" ht="21" customHeight="1">
      <c r="A12" s="5">
        <v>2</v>
      </c>
      <c r="B12" s="6">
        <v>42767</v>
      </c>
      <c r="C12" s="21">
        <f>C11</f>
        <v>69200</v>
      </c>
      <c r="D12" s="22">
        <f t="shared" ref="D12:D16" si="2">ROUND((C12*4%),0)</f>
        <v>2768</v>
      </c>
      <c r="E12" s="23">
        <f t="shared" ref="E12:E18" si="3">SUM(C13:D13)</f>
        <v>71968</v>
      </c>
      <c r="F12" s="12">
        <f>F11</f>
        <v>26230</v>
      </c>
      <c r="G12" s="12">
        <f t="shared" ref="G12:G16" si="4">ROUND((F12*136%),0)</f>
        <v>35673</v>
      </c>
      <c r="H12" s="13">
        <f t="shared" ref="H12:H19" si="5">SUM(F12:G12)</f>
        <v>61903</v>
      </c>
      <c r="I12" s="30">
        <f t="shared" ref="I12:I19" si="6">ROUND((C12*30%-F12*30%),0)</f>
        <v>12891</v>
      </c>
      <c r="J12" s="30">
        <f t="shared" si="0"/>
        <v>-9872</v>
      </c>
      <c r="K12" s="31">
        <f t="shared" si="1"/>
        <v>3019</v>
      </c>
      <c r="L12" s="38">
        <f>ROUND(IF($P$3=5,K12*0.05,IF($P$3=10,K12*0.1,IF($P$3=20,K12*0.2,K12*0.3))),0)</f>
        <v>604</v>
      </c>
      <c r="M12" s="38">
        <f>IF($P$4="Yes",0,IF($P$2="Yes",ROUND(K12*0.1,0),K12-L12))</f>
        <v>2415</v>
      </c>
      <c r="N12" s="38">
        <f t="shared" ref="N12:N19" si="7">SUM(L12:M12)</f>
        <v>3019</v>
      </c>
      <c r="O12" s="44">
        <f t="shared" ref="O12:O19" si="8">K12-N12</f>
        <v>0</v>
      </c>
      <c r="P12" s="49">
        <f t="shared" ref="P12:P19" si="9">C12-F12</f>
        <v>42970</v>
      </c>
      <c r="Q12" s="49">
        <f t="shared" ref="Q12:Q19" si="10">D12-G12</f>
        <v>-32905</v>
      </c>
      <c r="R12" s="49">
        <f t="shared" ref="R12:R19" si="11">E12-H12</f>
        <v>10065</v>
      </c>
      <c r="S12" s="52"/>
      <c r="T12" s="52"/>
      <c r="U12" s="52"/>
      <c r="V12" s="52"/>
    </row>
    <row r="13" spans="1:22" ht="21" customHeight="1">
      <c r="A13" s="5">
        <v>3</v>
      </c>
      <c r="B13" s="6">
        <v>42795</v>
      </c>
      <c r="C13" s="21">
        <f t="shared" ref="C13:C19" si="12">C12</f>
        <v>69200</v>
      </c>
      <c r="D13" s="22">
        <f t="shared" si="2"/>
        <v>2768</v>
      </c>
      <c r="E13" s="23">
        <f t="shared" si="3"/>
        <v>71968</v>
      </c>
      <c r="F13" s="12">
        <f t="shared" ref="F13:F16" si="13">F12</f>
        <v>26230</v>
      </c>
      <c r="G13" s="12">
        <f t="shared" si="4"/>
        <v>35673</v>
      </c>
      <c r="H13" s="13">
        <f t="shared" si="5"/>
        <v>61903</v>
      </c>
      <c r="I13" s="30">
        <f t="shared" si="6"/>
        <v>12891</v>
      </c>
      <c r="J13" s="30">
        <f t="shared" si="0"/>
        <v>-9872</v>
      </c>
      <c r="K13" s="31">
        <f t="shared" si="1"/>
        <v>3019</v>
      </c>
      <c r="L13" s="38">
        <f>ROUND(IF($P$3=5,K13*0.05,IF($P$3=10,K13*0.1,IF($P$3=20,K13*0.2,K13*0.3))),0)</f>
        <v>604</v>
      </c>
      <c r="M13" s="38">
        <f>IF($P$4="Yes",0,IF($P$2="Yes",ROUND(K13*0.1,0),K13-L13))</f>
        <v>2415</v>
      </c>
      <c r="N13" s="38">
        <f t="shared" si="7"/>
        <v>3019</v>
      </c>
      <c r="O13" s="44">
        <f t="shared" si="8"/>
        <v>0</v>
      </c>
      <c r="P13" s="49">
        <f t="shared" si="9"/>
        <v>42970</v>
      </c>
      <c r="Q13" s="49">
        <f t="shared" si="10"/>
        <v>-32905</v>
      </c>
      <c r="R13" s="49">
        <f t="shared" si="11"/>
        <v>10065</v>
      </c>
      <c r="S13" s="52"/>
      <c r="T13" s="52"/>
      <c r="U13" s="52"/>
      <c r="V13" s="52"/>
    </row>
    <row r="14" spans="1:22" ht="21" customHeight="1">
      <c r="A14" s="5">
        <v>4</v>
      </c>
      <c r="B14" s="6">
        <v>42826</v>
      </c>
      <c r="C14" s="21">
        <f t="shared" si="12"/>
        <v>69200</v>
      </c>
      <c r="D14" s="22">
        <f t="shared" si="2"/>
        <v>2768</v>
      </c>
      <c r="E14" s="23">
        <f t="shared" si="3"/>
        <v>71968</v>
      </c>
      <c r="F14" s="12">
        <f t="shared" si="13"/>
        <v>26230</v>
      </c>
      <c r="G14" s="12">
        <f t="shared" si="4"/>
        <v>35673</v>
      </c>
      <c r="H14" s="13">
        <f t="shared" si="5"/>
        <v>61903</v>
      </c>
      <c r="I14" s="30">
        <f t="shared" si="6"/>
        <v>12891</v>
      </c>
      <c r="J14" s="30">
        <f t="shared" si="0"/>
        <v>-9872</v>
      </c>
      <c r="K14" s="31">
        <f t="shared" si="1"/>
        <v>3019</v>
      </c>
      <c r="L14" s="38">
        <f>ROUND(IF($P$3=5,K14*0.05,IF($P$3=10,K14*0.1,IF($P$3=20,K14*0.2,K14*0.3))),0)</f>
        <v>604</v>
      </c>
      <c r="M14" s="38">
        <f>IF($P$4="Yes",0,IF($P$2="Yes",ROUND(K14*0.1,0),K14-L14))</f>
        <v>2415</v>
      </c>
      <c r="N14" s="38">
        <f t="shared" si="7"/>
        <v>3019</v>
      </c>
      <c r="O14" s="44">
        <f t="shared" si="8"/>
        <v>0</v>
      </c>
      <c r="P14" s="49">
        <f t="shared" si="9"/>
        <v>42970</v>
      </c>
      <c r="Q14" s="49">
        <f t="shared" si="10"/>
        <v>-32905</v>
      </c>
      <c r="R14" s="49">
        <f t="shared" si="11"/>
        <v>10065</v>
      </c>
      <c r="S14" s="52"/>
      <c r="T14" s="52"/>
      <c r="U14" s="52"/>
      <c r="V14" s="52"/>
    </row>
    <row r="15" spans="1:22" ht="21" customHeight="1">
      <c r="A15" s="5">
        <v>5</v>
      </c>
      <c r="B15" s="6">
        <v>42856</v>
      </c>
      <c r="C15" s="21">
        <f t="shared" si="12"/>
        <v>69200</v>
      </c>
      <c r="D15" s="22">
        <f t="shared" si="2"/>
        <v>2768</v>
      </c>
      <c r="E15" s="23">
        <f t="shared" si="3"/>
        <v>71968</v>
      </c>
      <c r="F15" s="12">
        <f t="shared" si="13"/>
        <v>26230</v>
      </c>
      <c r="G15" s="12">
        <f t="shared" si="4"/>
        <v>35673</v>
      </c>
      <c r="H15" s="13">
        <f t="shared" si="5"/>
        <v>61903</v>
      </c>
      <c r="I15" s="30">
        <f t="shared" si="6"/>
        <v>12891</v>
      </c>
      <c r="J15" s="30">
        <f t="shared" si="0"/>
        <v>-9872</v>
      </c>
      <c r="K15" s="31">
        <f t="shared" si="1"/>
        <v>3019</v>
      </c>
      <c r="L15" s="38">
        <f>ROUND(IF($P$3=5,K15*0.05,IF($P$3=10,K15*0.1,IF($P$3=20,K15*0.2,K15*0.3))),0)</f>
        <v>604</v>
      </c>
      <c r="M15" s="38">
        <f>IF($P$4="Yes",0,IF($P$2="Yes",ROUND(K15*0.1,0),K15-L15))</f>
        <v>2415</v>
      </c>
      <c r="N15" s="38">
        <f t="shared" si="7"/>
        <v>3019</v>
      </c>
      <c r="O15" s="44">
        <f t="shared" si="8"/>
        <v>0</v>
      </c>
      <c r="P15" s="49">
        <f t="shared" si="9"/>
        <v>42970</v>
      </c>
      <c r="Q15" s="49">
        <f t="shared" si="10"/>
        <v>-32905</v>
      </c>
      <c r="R15" s="49">
        <f t="shared" si="11"/>
        <v>10065</v>
      </c>
      <c r="S15" s="52"/>
      <c r="T15" s="52"/>
      <c r="U15" s="52"/>
      <c r="V15" s="52"/>
    </row>
    <row r="16" spans="1:22" ht="21" customHeight="1">
      <c r="A16" s="5">
        <v>6</v>
      </c>
      <c r="B16" s="6">
        <v>42887</v>
      </c>
      <c r="C16" s="21">
        <f t="shared" si="12"/>
        <v>69200</v>
      </c>
      <c r="D16" s="22">
        <f t="shared" si="2"/>
        <v>2768</v>
      </c>
      <c r="E16" s="23">
        <f>C16+D16</f>
        <v>71968</v>
      </c>
      <c r="F16" s="12">
        <f t="shared" si="13"/>
        <v>26230</v>
      </c>
      <c r="G16" s="12">
        <f t="shared" si="4"/>
        <v>35673</v>
      </c>
      <c r="H16" s="13">
        <f t="shared" si="5"/>
        <v>61903</v>
      </c>
      <c r="I16" s="30">
        <f t="shared" si="6"/>
        <v>12891</v>
      </c>
      <c r="J16" s="30">
        <f t="shared" si="0"/>
        <v>-9872</v>
      </c>
      <c r="K16" s="31">
        <f t="shared" si="1"/>
        <v>3019</v>
      </c>
      <c r="L16" s="38">
        <f>ROUND(IF($P$3=5,K16*0.05,IF($P$3=10,K16*0.1,IF($P$3=20,K16*0.2,K16*0.3))),0)</f>
        <v>604</v>
      </c>
      <c r="M16" s="38">
        <f>IF($P$4="Yes",0,IF($P$2="Yes",ROUND(K16*0.1,0),K16-L16))</f>
        <v>2415</v>
      </c>
      <c r="N16" s="38">
        <f t="shared" si="7"/>
        <v>3019</v>
      </c>
      <c r="O16" s="44">
        <f t="shared" si="8"/>
        <v>0</v>
      </c>
      <c r="P16" s="49">
        <f t="shared" si="9"/>
        <v>42970</v>
      </c>
      <c r="Q16" s="49">
        <f t="shared" si="10"/>
        <v>-32905</v>
      </c>
      <c r="R16" s="49">
        <f t="shared" si="11"/>
        <v>10065</v>
      </c>
      <c r="S16" s="52"/>
      <c r="T16" s="52"/>
      <c r="U16" s="52"/>
      <c r="V16" s="52"/>
    </row>
    <row r="17" spans="1:22" ht="21" customHeight="1">
      <c r="A17" s="5">
        <v>7</v>
      </c>
      <c r="B17" s="6">
        <v>42917</v>
      </c>
      <c r="C17" s="21">
        <f>ROUND(ROUND(C16*1.03,0),-2)</f>
        <v>71300</v>
      </c>
      <c r="D17" s="22">
        <f>ROUND((C17*5%),0)</f>
        <v>3565</v>
      </c>
      <c r="E17" s="23">
        <f t="shared" si="3"/>
        <v>74865</v>
      </c>
      <c r="F17" s="12">
        <f>ROUNDUP(ROUND(F16*1.03,0),-1)</f>
        <v>27020</v>
      </c>
      <c r="G17" s="12">
        <f>ROUND((F17*139%),0)</f>
        <v>37558</v>
      </c>
      <c r="H17" s="13">
        <f t="shared" si="5"/>
        <v>64578</v>
      </c>
      <c r="I17" s="30">
        <f t="shared" si="6"/>
        <v>13284</v>
      </c>
      <c r="J17" s="30">
        <f t="shared" si="0"/>
        <v>-10198</v>
      </c>
      <c r="K17" s="31">
        <f t="shared" si="1"/>
        <v>3086</v>
      </c>
      <c r="L17" s="38">
        <f>ROUND(IF($P$3=5,K17*0.05,IF($P$3=10,K17*0.1,IF($P$3=20,K17*0.2,K17*0.3))),0)</f>
        <v>617</v>
      </c>
      <c r="M17" s="38">
        <f>IF($P$4="Yes",0,IF($P$2="Yes",ROUND(K17*0.1,0),K17-L17))</f>
        <v>2469</v>
      </c>
      <c r="N17" s="38">
        <f t="shared" si="7"/>
        <v>3086</v>
      </c>
      <c r="O17" s="44">
        <f t="shared" si="8"/>
        <v>0</v>
      </c>
      <c r="P17" s="49">
        <f t="shared" si="9"/>
        <v>44280</v>
      </c>
      <c r="Q17" s="49">
        <f t="shared" si="10"/>
        <v>-33993</v>
      </c>
      <c r="R17" s="49">
        <f t="shared" si="11"/>
        <v>10287</v>
      </c>
      <c r="S17" s="52"/>
      <c r="T17" s="52"/>
      <c r="U17" s="52"/>
      <c r="V17" s="52"/>
    </row>
    <row r="18" spans="1:22" ht="21" customHeight="1">
      <c r="A18" s="5">
        <v>8</v>
      </c>
      <c r="B18" s="6">
        <v>42948</v>
      </c>
      <c r="C18" s="21">
        <f t="shared" si="12"/>
        <v>71300</v>
      </c>
      <c r="D18" s="22">
        <f t="shared" ref="D18:D19" si="14">ROUND((C18*5%),0)</f>
        <v>3565</v>
      </c>
      <c r="E18" s="23">
        <f t="shared" si="3"/>
        <v>74865</v>
      </c>
      <c r="F18" s="12">
        <f>F17</f>
        <v>27020</v>
      </c>
      <c r="G18" s="12">
        <f t="shared" ref="G18:G19" si="15">ROUND((F18*139%),0)</f>
        <v>37558</v>
      </c>
      <c r="H18" s="13">
        <f t="shared" si="5"/>
        <v>64578</v>
      </c>
      <c r="I18" s="30">
        <f t="shared" si="6"/>
        <v>13284</v>
      </c>
      <c r="J18" s="30">
        <f t="shared" si="0"/>
        <v>-10198</v>
      </c>
      <c r="K18" s="31">
        <f t="shared" si="1"/>
        <v>3086</v>
      </c>
      <c r="L18" s="38">
        <f>ROUND(IF($P$3=5,K18*0.05,IF($P$3=10,K18*0.1,IF($P$3=20,K18*0.2,K18*0.3))),0)</f>
        <v>617</v>
      </c>
      <c r="M18" s="38">
        <f>IF($P$4="Yes",0,IF($P$2="Yes",ROUND(K18*0.1,0),K18-L18))</f>
        <v>2469</v>
      </c>
      <c r="N18" s="38">
        <f t="shared" si="7"/>
        <v>3086</v>
      </c>
      <c r="O18" s="44">
        <f t="shared" si="8"/>
        <v>0</v>
      </c>
      <c r="P18" s="49">
        <f t="shared" si="9"/>
        <v>44280</v>
      </c>
      <c r="Q18" s="49">
        <f t="shared" si="10"/>
        <v>-33993</v>
      </c>
      <c r="R18" s="49">
        <f t="shared" si="11"/>
        <v>10287</v>
      </c>
      <c r="S18" s="52"/>
      <c r="T18" s="52"/>
      <c r="U18" s="52"/>
      <c r="V18" s="52"/>
    </row>
    <row r="19" spans="1:22" ht="21" customHeight="1">
      <c r="A19" s="7">
        <v>9</v>
      </c>
      <c r="B19" s="8">
        <v>42979</v>
      </c>
      <c r="C19" s="24">
        <f t="shared" si="12"/>
        <v>71300</v>
      </c>
      <c r="D19" s="25">
        <f t="shared" si="14"/>
        <v>3565</v>
      </c>
      <c r="E19" s="26">
        <f>SUM(C19:D19)</f>
        <v>74865</v>
      </c>
      <c r="F19" s="14">
        <f t="shared" ref="F19" si="16">F18</f>
        <v>27020</v>
      </c>
      <c r="G19" s="14">
        <f t="shared" si="15"/>
        <v>37558</v>
      </c>
      <c r="H19" s="15">
        <f t="shared" si="5"/>
        <v>64578</v>
      </c>
      <c r="I19" s="32">
        <f t="shared" si="6"/>
        <v>13284</v>
      </c>
      <c r="J19" s="32">
        <f t="shared" si="0"/>
        <v>-10198</v>
      </c>
      <c r="K19" s="33">
        <f t="shared" si="1"/>
        <v>3086</v>
      </c>
      <c r="L19" s="39">
        <f>ROUND(IF($P$3=5,K19*0.05,IF($P$3=10,K19*0.1,IF($P$3=20,K19*0.2,K19*0.3))),0)</f>
        <v>617</v>
      </c>
      <c r="M19" s="38">
        <f>IF($P$4="Yes",0,IF($P$2="Yes",ROUND(K19*0.1,0),K19-L19))</f>
        <v>2469</v>
      </c>
      <c r="N19" s="39">
        <f t="shared" si="7"/>
        <v>3086</v>
      </c>
      <c r="O19" s="45">
        <f t="shared" si="8"/>
        <v>0</v>
      </c>
      <c r="P19" s="49">
        <f t="shared" si="9"/>
        <v>44280</v>
      </c>
      <c r="Q19" s="49">
        <f t="shared" si="10"/>
        <v>-33993</v>
      </c>
      <c r="R19" s="49">
        <f t="shared" si="11"/>
        <v>10287</v>
      </c>
      <c r="S19" s="52"/>
      <c r="T19" s="52"/>
      <c r="U19" s="52"/>
      <c r="V19" s="52"/>
    </row>
    <row r="20" spans="1:22" ht="21" customHeight="1">
      <c r="A20" s="9" t="s">
        <v>12</v>
      </c>
      <c r="B20" s="9"/>
      <c r="C20" s="27">
        <f>SUM(C11:C19)</f>
        <v>629100</v>
      </c>
      <c r="D20" s="27">
        <f t="shared" ref="D20:H20" si="17">SUM(D11:D19)</f>
        <v>27303</v>
      </c>
      <c r="E20" s="27">
        <f t="shared" si="17"/>
        <v>656403</v>
      </c>
      <c r="F20" s="16">
        <f t="shared" si="17"/>
        <v>238440</v>
      </c>
      <c r="G20" s="16">
        <f t="shared" si="17"/>
        <v>326712</v>
      </c>
      <c r="H20" s="16">
        <f t="shared" si="17"/>
        <v>565152</v>
      </c>
      <c r="I20" s="34">
        <f>SUM(I11:I19)</f>
        <v>117198</v>
      </c>
      <c r="J20" s="34">
        <f>SUM(J11:J19)</f>
        <v>-89826</v>
      </c>
      <c r="K20" s="34">
        <f>SUM(K11:K19)</f>
        <v>27372</v>
      </c>
      <c r="L20" s="40">
        <f t="shared" ref="L20:R20" si="18">SUM(L11:L19)</f>
        <v>5475</v>
      </c>
      <c r="M20" s="40">
        <f t="shared" si="18"/>
        <v>21897</v>
      </c>
      <c r="N20" s="40">
        <f t="shared" si="18"/>
        <v>27372</v>
      </c>
      <c r="O20" s="46">
        <f t="shared" si="18"/>
        <v>0</v>
      </c>
      <c r="P20" s="41">
        <f t="shared" si="18"/>
        <v>390660</v>
      </c>
      <c r="Q20" s="41">
        <f t="shared" si="18"/>
        <v>-299409</v>
      </c>
      <c r="R20" s="41">
        <f t="shared" si="18"/>
        <v>91251</v>
      </c>
      <c r="S20" s="52"/>
      <c r="T20" s="52"/>
      <c r="U20" s="52"/>
      <c r="V20" s="52"/>
    </row>
    <row r="21" spans="1:22">
      <c r="A21" s="52"/>
      <c r="B21" s="52"/>
      <c r="C21" s="52"/>
      <c r="D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>
      <c r="A22" s="52"/>
      <c r="B22" s="52"/>
      <c r="C22" s="52"/>
      <c r="D22" s="52"/>
      <c r="E22" s="66" t="s">
        <v>24</v>
      </c>
      <c r="F22" s="66"/>
      <c r="G22" s="66"/>
      <c r="H22" s="66"/>
      <c r="I22" s="70">
        <f>K20</f>
        <v>27372</v>
      </c>
      <c r="J22" s="70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>
      <c r="A23" s="52"/>
      <c r="B23" s="52"/>
      <c r="C23" s="52"/>
      <c r="D23" s="52"/>
      <c r="E23" s="67" t="s">
        <v>25</v>
      </c>
      <c r="F23" s="67"/>
      <c r="G23" s="67"/>
      <c r="H23" s="67"/>
      <c r="I23" s="71">
        <f>I22</f>
        <v>27372</v>
      </c>
      <c r="J23" s="7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>
      <c r="A24" s="52"/>
      <c r="B24" s="52"/>
      <c r="C24" s="52"/>
      <c r="D24" s="52"/>
      <c r="E24" s="68" t="s">
        <v>27</v>
      </c>
      <c r="F24" s="68"/>
      <c r="G24" s="68"/>
      <c r="H24" s="68"/>
      <c r="I24" s="72">
        <f>R20-(I22*2)</f>
        <v>36507</v>
      </c>
      <c r="J24" s="7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>
      <c r="A25" s="52"/>
      <c r="B25" s="52"/>
      <c r="C25" s="52"/>
      <c r="D25" s="52"/>
      <c r="E25" s="69" t="s">
        <v>26</v>
      </c>
      <c r="F25" s="69"/>
      <c r="G25" s="69"/>
      <c r="H25" s="69"/>
      <c r="I25" s="73">
        <f>SUM(I22:I24)</f>
        <v>91251</v>
      </c>
      <c r="J25" s="73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s="52" customFormat="1"/>
    <row r="27" spans="1:22" s="52" customFormat="1"/>
    <row r="28" spans="1:22" s="52" customFormat="1" hidden="1"/>
    <row r="29" spans="1:22" s="52" customFormat="1" hidden="1"/>
    <row r="30" spans="1:22" s="52" customFormat="1" hidden="1"/>
    <row r="31" spans="1:22" s="52" customFormat="1" hidden="1"/>
    <row r="32" spans="1:22" s="52" customFormat="1" hidden="1"/>
    <row r="33" spans="19:22" s="52" customFormat="1" hidden="1"/>
    <row r="34" spans="19:22" s="52" customFormat="1" hidden="1"/>
    <row r="35" spans="19:22" s="52" customFormat="1" hidden="1"/>
    <row r="36" spans="19:22" s="52" customFormat="1" hidden="1"/>
    <row r="37" spans="19:22" s="52" customFormat="1" hidden="1"/>
    <row r="38" spans="19:22" s="52" customFormat="1" hidden="1"/>
    <row r="39" spans="19:22" s="52" customFormat="1" hidden="1"/>
    <row r="40" spans="19:22" s="52" customFormat="1" hidden="1"/>
    <row r="41" spans="19:22" hidden="1">
      <c r="S41" s="52"/>
      <c r="T41" s="52"/>
      <c r="U41" s="52"/>
      <c r="V41" s="52"/>
    </row>
    <row r="42" spans="19:22" hidden="1">
      <c r="S42" s="52"/>
      <c r="T42" s="52"/>
      <c r="U42" s="52"/>
      <c r="V42" s="52"/>
    </row>
    <row r="43" spans="19:22" hidden="1">
      <c r="S43" s="52"/>
      <c r="T43" s="52"/>
      <c r="U43" s="52"/>
      <c r="V43" s="52"/>
    </row>
    <row r="44" spans="19:22" hidden="1">
      <c r="S44" s="52"/>
      <c r="T44" s="52"/>
      <c r="U44" s="52"/>
      <c r="V44" s="52"/>
    </row>
    <row r="45" spans="19:22" hidden="1">
      <c r="S45" s="52"/>
      <c r="T45" s="52"/>
      <c r="U45" s="52"/>
      <c r="V45" s="52"/>
    </row>
  </sheetData>
  <sheetProtection password="CF11" sheet="1" objects="1" scenarios="1"/>
  <mergeCells count="28">
    <mergeCell ref="P9:R9"/>
    <mergeCell ref="E22:H22"/>
    <mergeCell ref="E23:H23"/>
    <mergeCell ref="E24:H24"/>
    <mergeCell ref="E25:H25"/>
    <mergeCell ref="I22:J22"/>
    <mergeCell ref="I23:J23"/>
    <mergeCell ref="I24:J24"/>
    <mergeCell ref="I25:J25"/>
    <mergeCell ref="P2:R2"/>
    <mergeCell ref="P3:R3"/>
    <mergeCell ref="P4:R4"/>
    <mergeCell ref="A2:O2"/>
    <mergeCell ref="A3:O3"/>
    <mergeCell ref="A4:O4"/>
    <mergeCell ref="A20:B20"/>
    <mergeCell ref="A9:A10"/>
    <mergeCell ref="B9:B10"/>
    <mergeCell ref="C9:E9"/>
    <mergeCell ref="F9:H9"/>
    <mergeCell ref="I9:K9"/>
    <mergeCell ref="M7:N7"/>
    <mergeCell ref="B5:O5"/>
    <mergeCell ref="B6:O6"/>
    <mergeCell ref="L9:N9"/>
    <mergeCell ref="O9:O10"/>
    <mergeCell ref="A7:C7"/>
    <mergeCell ref="D7:H7"/>
  </mergeCells>
  <dataValidations count="2">
    <dataValidation type="list" allowBlank="1" showInputMessage="1" showErrorMessage="1" sqref="P2 P4">
      <formula1>"Yes,No"</formula1>
    </dataValidation>
    <dataValidation type="list" allowBlank="1" showInputMessage="1" showErrorMessage="1" sqref="P3">
      <formula1>"5,10,20,30"</formula1>
    </dataValidation>
  </dataValidations>
  <printOptions horizontalCentered="1"/>
  <pageMargins left="0.15748031496062992" right="0.15748031496062992" top="0.52" bottom="0.74803149606299213" header="0.44" footer="0.31496062992125984"/>
  <pageSetup paperSize="9" scale="80" orientation="landscape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ARREAR</vt:lpstr>
      <vt:lpstr>'TOTAL ARREAR'!Print_Area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</cp:lastModifiedBy>
  <cp:lastPrinted>2018-10-24T15:15:56Z</cp:lastPrinted>
  <dcterms:created xsi:type="dcterms:W3CDTF">2018-05-04T12:13:01Z</dcterms:created>
  <dcterms:modified xsi:type="dcterms:W3CDTF">2018-10-24T15:18:29Z</dcterms:modified>
</cp:coreProperties>
</file>