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30" windowWidth="23580" windowHeight="9990"/>
  </bookViews>
  <sheets>
    <sheet name="Instructions" sheetId="1" r:id="rId1"/>
    <sheet name="Master Data" sheetId="2" r:id="rId2"/>
    <sheet name="Extra Ded. " sheetId="4" r:id="rId3"/>
    <sheet name="GA55 " sheetId="5" r:id="rId4"/>
    <sheet name="COMPUTATION" sheetId="6" r:id="rId5"/>
    <sheet name="Form No. 16" sheetId="11" r:id="rId6"/>
  </sheets>
  <externalReferences>
    <externalReference r:id="rId7"/>
    <externalReference r:id="rId8"/>
  </externalReferences>
  <definedNames>
    <definedName name="gp">'Master Data'!$V$18:$V$20</definedName>
    <definedName name="level">#REF!</definedName>
    <definedName name="Month">'Master Data'!$AB$25:$AB$37</definedName>
    <definedName name="Month1">'Master Data'!$AA$25:$AA$37</definedName>
    <definedName name="pay">'Master Data'!$Y$18:$Y$20</definedName>
    <definedName name="_xlnm.Print_Area" localSheetId="4">COMPUTATION!$A$1:$O$69</definedName>
    <definedName name="_xlnm.Print_Area" localSheetId="5">'Form No. 16'!$B$1:$L$142</definedName>
    <definedName name="_xlnm.Print_Area" localSheetId="3" xml:space="preserve">                            'GA55 '!$A$1:$AD$30</definedName>
    <definedName name="ram">#REF!</definedName>
    <definedName name="und">'Master Data'!$T$18:$T$20</definedName>
    <definedName name="ye">'Master Data'!$S$18:$S$20</definedName>
  </definedNames>
  <calcPr calcId="124519"/>
</workbook>
</file>

<file path=xl/calcChain.xml><?xml version="1.0" encoding="utf-8"?>
<calcChain xmlns="http://schemas.openxmlformats.org/spreadsheetml/2006/main">
  <c r="K9" i="6"/>
  <c r="L3" i="5"/>
  <c r="G3"/>
  <c r="R3"/>
  <c r="O3"/>
  <c r="P6"/>
  <c r="O8"/>
  <c r="O9"/>
  <c r="O10"/>
  <c r="O11"/>
  <c r="O12"/>
  <c r="O13"/>
  <c r="O14"/>
  <c r="O15"/>
  <c r="O16"/>
  <c r="O17"/>
  <c r="O7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K66" i="6"/>
  <c r="J66"/>
  <c r="H66"/>
  <c r="F66"/>
  <c r="U8" i="5"/>
  <c r="U9"/>
  <c r="U10"/>
  <c r="U11"/>
  <c r="U12"/>
  <c r="U13"/>
  <c r="U14"/>
  <c r="U15"/>
  <c r="U16"/>
  <c r="U17"/>
  <c r="U7"/>
  <c r="U27" s="1"/>
  <c r="O34" i="6"/>
  <c r="M22" l="1"/>
  <c r="O6" l="1"/>
  <c r="AA56"/>
  <c r="AA55"/>
  <c r="AA54"/>
  <c r="M6" i="5"/>
  <c r="Q8"/>
  <c r="R8"/>
  <c r="S8"/>
  <c r="T8"/>
  <c r="V8"/>
  <c r="W8"/>
  <c r="X8"/>
  <c r="Y8"/>
  <c r="Z8"/>
  <c r="Q9"/>
  <c r="R9"/>
  <c r="S9"/>
  <c r="T9"/>
  <c r="V9"/>
  <c r="W9"/>
  <c r="X9"/>
  <c r="Y9"/>
  <c r="Z9"/>
  <c r="Q10"/>
  <c r="R10"/>
  <c r="S10"/>
  <c r="T10"/>
  <c r="V10"/>
  <c r="W10"/>
  <c r="X10"/>
  <c r="Y10"/>
  <c r="Z10"/>
  <c r="Q11"/>
  <c r="R11"/>
  <c r="S11"/>
  <c r="T11"/>
  <c r="V11"/>
  <c r="W11"/>
  <c r="X11"/>
  <c r="Y11"/>
  <c r="Z11"/>
  <c r="Q12"/>
  <c r="R12"/>
  <c r="S12"/>
  <c r="T12"/>
  <c r="V12"/>
  <c r="W12"/>
  <c r="X12"/>
  <c r="Y12"/>
  <c r="Z12"/>
  <c r="Q13"/>
  <c r="R13"/>
  <c r="S13"/>
  <c r="T13"/>
  <c r="V13"/>
  <c r="W13"/>
  <c r="X13"/>
  <c r="Y13"/>
  <c r="Z13"/>
  <c r="Q14"/>
  <c r="R14"/>
  <c r="S14"/>
  <c r="T14"/>
  <c r="V14"/>
  <c r="W14"/>
  <c r="X14"/>
  <c r="Y14"/>
  <c r="Z14"/>
  <c r="Q15"/>
  <c r="R15"/>
  <c r="S15"/>
  <c r="T15"/>
  <c r="V15"/>
  <c r="W15"/>
  <c r="X15"/>
  <c r="Y15"/>
  <c r="Z15"/>
  <c r="Q16"/>
  <c r="R16"/>
  <c r="S16"/>
  <c r="T16"/>
  <c r="V16"/>
  <c r="W16"/>
  <c r="X16"/>
  <c r="Y16"/>
  <c r="Z16"/>
  <c r="Q17"/>
  <c r="R17"/>
  <c r="S17"/>
  <c r="T17"/>
  <c r="V17"/>
  <c r="W17"/>
  <c r="X17"/>
  <c r="Y17"/>
  <c r="Z17"/>
  <c r="N8"/>
  <c r="N9"/>
  <c r="N10"/>
  <c r="N11"/>
  <c r="N12"/>
  <c r="N13"/>
  <c r="N14"/>
  <c r="N15"/>
  <c r="N16"/>
  <c r="N17"/>
  <c r="D8"/>
  <c r="E8"/>
  <c r="D9"/>
  <c r="E9"/>
  <c r="D10"/>
  <c r="E10"/>
  <c r="D11"/>
  <c r="E11"/>
  <c r="D12"/>
  <c r="E12"/>
  <c r="D13"/>
  <c r="E13"/>
  <c r="D14"/>
  <c r="E14"/>
  <c r="D15"/>
  <c r="E15"/>
  <c r="D16"/>
  <c r="E16"/>
  <c r="D17"/>
  <c r="E17"/>
  <c r="E7"/>
  <c r="D7"/>
  <c r="C8"/>
  <c r="C9"/>
  <c r="M9" s="1"/>
  <c r="C10"/>
  <c r="C11"/>
  <c r="C12"/>
  <c r="C13"/>
  <c r="C14"/>
  <c r="C15"/>
  <c r="C16"/>
  <c r="C17"/>
  <c r="C7"/>
  <c r="F8"/>
  <c r="G8"/>
  <c r="H8"/>
  <c r="I8"/>
  <c r="J8"/>
  <c r="K8"/>
  <c r="L8"/>
  <c r="F9"/>
  <c r="G9"/>
  <c r="H9"/>
  <c r="I9"/>
  <c r="J9"/>
  <c r="K9"/>
  <c r="L9"/>
  <c r="F10"/>
  <c r="G10"/>
  <c r="H10"/>
  <c r="I10"/>
  <c r="J10"/>
  <c r="K10"/>
  <c r="L10"/>
  <c r="F11"/>
  <c r="G11"/>
  <c r="H11"/>
  <c r="I11"/>
  <c r="J11"/>
  <c r="K11"/>
  <c r="L11"/>
  <c r="F12"/>
  <c r="G12"/>
  <c r="H12"/>
  <c r="I12"/>
  <c r="J12"/>
  <c r="K12"/>
  <c r="L12"/>
  <c r="F13"/>
  <c r="G13"/>
  <c r="H13"/>
  <c r="I13"/>
  <c r="J13"/>
  <c r="K13"/>
  <c r="L13"/>
  <c r="F14"/>
  <c r="G14"/>
  <c r="H14"/>
  <c r="I14"/>
  <c r="J14"/>
  <c r="K14"/>
  <c r="L14"/>
  <c r="F15"/>
  <c r="G15"/>
  <c r="H15"/>
  <c r="I15"/>
  <c r="J15"/>
  <c r="K15"/>
  <c r="L15"/>
  <c r="F16"/>
  <c r="G16"/>
  <c r="H16"/>
  <c r="I16"/>
  <c r="J16"/>
  <c r="K16"/>
  <c r="L16"/>
  <c r="F17"/>
  <c r="G17"/>
  <c r="H17"/>
  <c r="I17"/>
  <c r="J17"/>
  <c r="K17"/>
  <c r="L17"/>
  <c r="M18"/>
  <c r="M19"/>
  <c r="M21"/>
  <c r="M22"/>
  <c r="M23"/>
  <c r="F7"/>
  <c r="G7"/>
  <c r="H7"/>
  <c r="I7"/>
  <c r="J7"/>
  <c r="K7"/>
  <c r="L7"/>
  <c r="M24"/>
  <c r="AA24" s="1"/>
  <c r="AB24" s="1"/>
  <c r="M25"/>
  <c r="AA25" s="1"/>
  <c r="AB25" s="1"/>
  <c r="M26"/>
  <c r="AA26" s="1"/>
  <c r="AB26" s="1"/>
  <c r="M20"/>
  <c r="M7" l="1"/>
  <c r="M8"/>
  <c r="AA6"/>
  <c r="G17" i="11"/>
  <c r="G16"/>
  <c r="G18"/>
  <c r="M13" i="5"/>
  <c r="M10"/>
  <c r="M16"/>
  <c r="M14"/>
  <c r="M17"/>
  <c r="M15"/>
  <c r="M11"/>
  <c r="M12"/>
  <c r="G30" i="6"/>
  <c r="AA24"/>
  <c r="G135" i="11" l="1"/>
  <c r="K44"/>
  <c r="K45"/>
  <c r="K46"/>
  <c r="K47"/>
  <c r="K48"/>
  <c r="K49"/>
  <c r="K50"/>
  <c r="K51"/>
  <c r="K52"/>
  <c r="K53"/>
  <c r="K54"/>
  <c r="K43"/>
  <c r="J24"/>
  <c r="B6"/>
  <c r="G67" s="1"/>
  <c r="D140"/>
  <c r="D67"/>
  <c r="G6"/>
  <c r="J17"/>
  <c r="J16"/>
  <c r="G7"/>
  <c r="D65" s="1"/>
  <c r="D139" s="1"/>
  <c r="J9"/>
  <c r="G9"/>
  <c r="E9"/>
  <c r="I119"/>
  <c r="G102"/>
  <c r="D66"/>
  <c r="D136"/>
  <c r="D141" s="1"/>
  <c r="C57"/>
  <c r="J37"/>
  <c r="C37"/>
  <c r="J36"/>
  <c r="J35"/>
  <c r="J34"/>
  <c r="J33"/>
  <c r="J32"/>
  <c r="J31"/>
  <c r="J30"/>
  <c r="J29"/>
  <c r="J28"/>
  <c r="J27"/>
  <c r="J26"/>
  <c r="J25"/>
  <c r="F19"/>
  <c r="C60" l="1"/>
  <c r="C135"/>
  <c r="G141"/>
  <c r="AB3" i="5" l="1"/>
  <c r="O37" i="6"/>
  <c r="G114" i="11" s="1"/>
  <c r="I114" s="1"/>
  <c r="O63" i="6"/>
  <c r="K130" i="11" s="1"/>
  <c r="L2" i="6" l="1"/>
  <c r="O44" l="1"/>
  <c r="G120" i="11" s="1"/>
  <c r="I120" s="1"/>
  <c r="O42" i="6"/>
  <c r="G121" i="11" s="1"/>
  <c r="I121" s="1"/>
  <c r="O40" i="6"/>
  <c r="G117" i="11" s="1"/>
  <c r="I117" s="1"/>
  <c r="O39" i="6"/>
  <c r="G116" i="11" s="1"/>
  <c r="I116" s="1"/>
  <c r="O38" i="6"/>
  <c r="G115" i="11" s="1"/>
  <c r="I115" s="1"/>
  <c r="M30" i="6"/>
  <c r="G107" i="11" s="1"/>
  <c r="M29" i="6"/>
  <c r="G106" i="11" s="1"/>
  <c r="M28" i="6"/>
  <c r="G108" i="11" s="1"/>
  <c r="M27" i="6"/>
  <c r="M26"/>
  <c r="M25"/>
  <c r="M24"/>
  <c r="M23"/>
  <c r="G29"/>
  <c r="G101" i="11" s="1"/>
  <c r="G28" i="6"/>
  <c r="G25"/>
  <c r="G24"/>
  <c r="G100" i="11" s="1"/>
  <c r="G23" i="6"/>
  <c r="J51"/>
  <c r="Y60"/>
  <c r="M52"/>
  <c r="M53"/>
  <c r="N57"/>
  <c r="N56"/>
  <c r="N55"/>
  <c r="M57"/>
  <c r="I57"/>
  <c r="E57"/>
  <c r="M56"/>
  <c r="I56"/>
  <c r="E56"/>
  <c r="M55"/>
  <c r="I55"/>
  <c r="E55"/>
  <c r="M54"/>
  <c r="I54"/>
  <c r="E54"/>
  <c r="I53"/>
  <c r="E53"/>
  <c r="J57"/>
  <c r="F57"/>
  <c r="B57"/>
  <c r="J56"/>
  <c r="F56"/>
  <c r="B56"/>
  <c r="J55"/>
  <c r="F55"/>
  <c r="B55"/>
  <c r="J54"/>
  <c r="F54"/>
  <c r="B54"/>
  <c r="J53"/>
  <c r="F53"/>
  <c r="B53"/>
  <c r="J52"/>
  <c r="F52"/>
  <c r="F51"/>
  <c r="AA31"/>
  <c r="E17"/>
  <c r="I16"/>
  <c r="I17"/>
  <c r="G105" i="11" l="1"/>
  <c r="G104"/>
  <c r="AA32" i="6"/>
  <c r="AB32"/>
  <c r="AA33" l="1"/>
  <c r="O43" s="1"/>
  <c r="G122" i="11" s="1"/>
  <c r="I122" s="1"/>
  <c r="I14" i="6"/>
  <c r="F85" i="11" s="1"/>
  <c r="F14" i="6"/>
  <c r="D85" i="11" s="1"/>
  <c r="K10" i="6"/>
  <c r="G81" i="11" s="1"/>
  <c r="G83"/>
  <c r="K8" i="6"/>
  <c r="G82" i="11" s="1"/>
  <c r="I84" l="1"/>
  <c r="E16" i="6"/>
  <c r="F91" i="11" s="1"/>
  <c r="K12" i="6"/>
  <c r="A1"/>
  <c r="N3"/>
  <c r="J3"/>
  <c r="D3"/>
  <c r="S29" i="5"/>
  <c r="C29"/>
  <c r="C3"/>
  <c r="V2"/>
  <c r="M2"/>
  <c r="D2"/>
  <c r="B1"/>
  <c r="C27" l="1"/>
  <c r="H27"/>
  <c r="L27"/>
  <c r="F27"/>
  <c r="E27"/>
  <c r="G27"/>
  <c r="J27"/>
  <c r="K27"/>
  <c r="I27"/>
  <c r="D27"/>
  <c r="P27"/>
  <c r="D14" i="6"/>
  <c r="F90" i="11"/>
  <c r="I91" s="1"/>
  <c r="O17" i="6"/>
  <c r="O10"/>
  <c r="AB23" l="1"/>
  <c r="M21" s="1"/>
  <c r="O5"/>
  <c r="O33"/>
  <c r="K14"/>
  <c r="O15" s="1"/>
  <c r="B85" i="11"/>
  <c r="I85" s="1"/>
  <c r="I86" s="1"/>
  <c r="T7" i="5" l="1"/>
  <c r="D66" i="6" s="1"/>
  <c r="Z7" i="5"/>
  <c r="Q7"/>
  <c r="R7"/>
  <c r="V7"/>
  <c r="W7"/>
  <c r="S7"/>
  <c r="N7"/>
  <c r="X7"/>
  <c r="X27" s="1"/>
  <c r="Y7"/>
  <c r="Y27" s="1"/>
  <c r="J18" i="11"/>
  <c r="C24"/>
  <c r="G15" l="1"/>
  <c r="Z27" i="5"/>
  <c r="G22" i="6" s="1"/>
  <c r="W27" i="5"/>
  <c r="V27"/>
  <c r="T27"/>
  <c r="S27"/>
  <c r="O41" i="6" s="1"/>
  <c r="R27" i="5"/>
  <c r="Q27"/>
  <c r="G27" i="6" s="1"/>
  <c r="C25" i="11"/>
  <c r="C26"/>
  <c r="J15" l="1"/>
  <c r="J19" s="1"/>
  <c r="C62" s="1"/>
  <c r="G19"/>
  <c r="C27"/>
  <c r="D137" l="1"/>
  <c r="D62"/>
  <c r="C28"/>
  <c r="C29" l="1"/>
  <c r="C30" l="1"/>
  <c r="C31" l="1"/>
  <c r="C32" l="1"/>
  <c r="C33" l="1"/>
  <c r="C34" l="1"/>
  <c r="AA8" i="5" l="1"/>
  <c r="AB8" s="1"/>
  <c r="AA7" l="1"/>
  <c r="AB7" s="1"/>
  <c r="AA17"/>
  <c r="AB17" s="1"/>
  <c r="AA10"/>
  <c r="AB10" s="1"/>
  <c r="AA11"/>
  <c r="AB11" s="1"/>
  <c r="AA16"/>
  <c r="AB16" s="1"/>
  <c r="C35" i="11"/>
  <c r="AA18" i="5"/>
  <c r="AB18" s="1"/>
  <c r="AA14"/>
  <c r="AB14" s="1"/>
  <c r="AA12"/>
  <c r="AB12" s="1"/>
  <c r="AA9"/>
  <c r="AB9" s="1"/>
  <c r="C36" i="11" l="1"/>
  <c r="C38" s="1"/>
  <c r="AA13" i="5"/>
  <c r="AB13" s="1"/>
  <c r="AA15"/>
  <c r="AB15" s="1"/>
  <c r="AA19" l="1"/>
  <c r="AB19" s="1"/>
  <c r="AA20"/>
  <c r="AB20" s="1"/>
  <c r="AA21" l="1"/>
  <c r="AB21" s="1"/>
  <c r="AA22"/>
  <c r="AB22" s="1"/>
  <c r="AA23" l="1"/>
  <c r="AB23" s="1"/>
  <c r="N27"/>
  <c r="G21" i="6" s="1"/>
  <c r="O27" i="5"/>
  <c r="G26" i="6" s="1"/>
  <c r="E77" i="11"/>
  <c r="F77" s="1"/>
  <c r="G78" s="1"/>
  <c r="G98"/>
  <c r="Z24" i="6" l="1"/>
  <c r="AB24" s="1"/>
  <c r="AC27" s="1"/>
  <c r="AA29" s="1"/>
  <c r="AB35" s="1"/>
  <c r="G109" i="11"/>
  <c r="I109" s="1"/>
  <c r="K109" s="1"/>
  <c r="G99"/>
  <c r="G96"/>
  <c r="AB38" i="6"/>
  <c r="AB40"/>
  <c r="G97" i="11" l="1"/>
  <c r="O45" i="6"/>
  <c r="G118" i="11"/>
  <c r="I118" s="1"/>
  <c r="K122" s="1"/>
  <c r="G110" l="1"/>
  <c r="M31" i="6" l="1"/>
  <c r="O32" s="1"/>
  <c r="O35" s="1"/>
  <c r="O46" s="1"/>
  <c r="G103" i="11" l="1"/>
  <c r="I108" s="1"/>
  <c r="K108" s="1"/>
  <c r="I110" s="1"/>
  <c r="K110" s="1"/>
  <c r="K123" s="1"/>
  <c r="AA27" i="5"/>
  <c r="M27"/>
  <c r="O4" i="6" l="1"/>
  <c r="O7" s="1"/>
  <c r="O11" s="1"/>
  <c r="O16" s="1"/>
  <c r="O18" s="1"/>
  <c r="O47" s="1"/>
  <c r="O48" s="1"/>
  <c r="AA23"/>
  <c r="Z23" s="1"/>
  <c r="AA27" s="1"/>
  <c r="AB6" i="5"/>
  <c r="AB27" s="1"/>
  <c r="G71" i="11" l="1"/>
  <c r="I74" s="1"/>
  <c r="I79" s="1"/>
  <c r="K87" s="1"/>
  <c r="K92" s="1"/>
  <c r="K124" s="1"/>
  <c r="K125" s="1"/>
  <c r="Y52" i="6"/>
  <c r="Z59"/>
  <c r="AB56"/>
  <c r="AD52"/>
  <c r="AD53"/>
  <c r="AC52"/>
  <c r="X52"/>
  <c r="AA52" s="1"/>
  <c r="AD54"/>
  <c r="AC54"/>
  <c r="AC55"/>
  <c r="AC56"/>
  <c r="Z52"/>
  <c r="AB54"/>
  <c r="AE54" s="1"/>
  <c r="O55" s="1"/>
  <c r="AC51"/>
  <c r="X51"/>
  <c r="AA51" s="1"/>
  <c r="Y59"/>
  <c r="AD56"/>
  <c r="X59"/>
  <c r="AD55"/>
  <c r="Y53"/>
  <c r="Y51"/>
  <c r="AB51"/>
  <c r="Z53"/>
  <c r="AB52"/>
  <c r="AE52" s="1"/>
  <c r="X53"/>
  <c r="AC53"/>
  <c r="AB53"/>
  <c r="AB55"/>
  <c r="AE55" s="1"/>
  <c r="O56" s="1"/>
  <c r="AD51"/>
  <c r="AA53" l="1"/>
  <c r="O54" s="1"/>
  <c r="AE53"/>
  <c r="AE56"/>
  <c r="O57" s="1"/>
  <c r="AD57"/>
  <c r="O53"/>
  <c r="AB57"/>
  <c r="AE57" s="1"/>
  <c r="AE51"/>
  <c r="O52" s="1"/>
  <c r="Y57"/>
  <c r="AC57"/>
  <c r="X57"/>
  <c r="AA57" s="1"/>
  <c r="Z57"/>
  <c r="O58" l="1"/>
  <c r="O59" s="1"/>
  <c r="I126" i="11" s="1"/>
  <c r="K127" s="1"/>
  <c r="K128" s="1"/>
  <c r="K129" s="1"/>
  <c r="K131" s="1"/>
  <c r="O60" i="6" l="1"/>
  <c r="O61" s="1"/>
  <c r="O62" s="1"/>
  <c r="O64" s="1"/>
  <c r="O66"/>
  <c r="A67" l="1"/>
  <c r="K132" i="11"/>
  <c r="O67" i="6"/>
  <c r="K133" i="11" l="1"/>
  <c r="C137"/>
  <c r="B133"/>
</calcChain>
</file>

<file path=xl/comments1.xml><?xml version="1.0" encoding="utf-8"?>
<comments xmlns="http://schemas.openxmlformats.org/spreadsheetml/2006/main">
  <authors>
    <author>Windows User</author>
  </authors>
  <commentList>
    <comment ref="B11" authorId="0">
      <text/>
    </comment>
    <comment ref="B15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Windows User</author>
  </authors>
  <commentList>
    <comment ref="R19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S32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R44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Q59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<sst xmlns="http://schemas.openxmlformats.org/spreadsheetml/2006/main" count="532" uniqueCount="438">
  <si>
    <t>EMPLOYEE  PERSONAL  DETAIL</t>
  </si>
  <si>
    <t>YES</t>
  </si>
  <si>
    <t>OCT</t>
  </si>
  <si>
    <t>JAN</t>
  </si>
  <si>
    <t>GPF</t>
  </si>
  <si>
    <t>Jaipur (U.A.)</t>
  </si>
  <si>
    <t>Regular Pay</t>
  </si>
  <si>
    <t>Under 60</t>
  </si>
  <si>
    <t>NO</t>
  </si>
  <si>
    <t>NPS</t>
  </si>
  <si>
    <t>Ajmer</t>
  </si>
  <si>
    <t>Fix Pay</t>
  </si>
  <si>
    <t>foadykax HkÙkk %&amp;</t>
  </si>
  <si>
    <t xml:space="preserve">  vkidks osru fey jgk gS %&amp;</t>
  </si>
  <si>
    <t>MAR</t>
  </si>
  <si>
    <t>APR</t>
  </si>
  <si>
    <t>MAY</t>
  </si>
  <si>
    <t>JUN</t>
  </si>
  <si>
    <t>ije~ iwT; xw:nso Jh Jh 1008 oklwnso th egkjkt</t>
  </si>
  <si>
    <t>JUL</t>
  </si>
  <si>
    <t>Heeralal jat</t>
  </si>
  <si>
    <t>Designation :-</t>
  </si>
  <si>
    <t>AUG</t>
  </si>
  <si>
    <t>Posting Place :-</t>
  </si>
  <si>
    <t>DDO Name :-</t>
  </si>
  <si>
    <t>SEP</t>
  </si>
  <si>
    <t>UID AADHAR No. :-</t>
  </si>
  <si>
    <t>TAN NO. :-</t>
  </si>
  <si>
    <t>NOV</t>
  </si>
  <si>
    <t>GPF No. :-</t>
  </si>
  <si>
    <t>SI No. :-</t>
  </si>
  <si>
    <t>DEC</t>
  </si>
  <si>
    <t>PRAN No. :-</t>
  </si>
  <si>
    <t>Bank A/C No. :-</t>
  </si>
  <si>
    <t>CCA</t>
  </si>
  <si>
    <r>
      <rPr>
        <b/>
        <sz val="16"/>
        <rFont val="Calibri"/>
        <family val="2"/>
        <scheme val="minor"/>
      </rPr>
      <t>Office Name</t>
    </r>
    <r>
      <rPr>
        <b/>
        <sz val="16"/>
        <rFont val="Kruti Dev 010"/>
      </rPr>
      <t xml:space="preserve"> </t>
    </r>
    <r>
      <rPr>
        <b/>
        <sz val="16"/>
        <rFont val="Calibri"/>
        <family val="2"/>
        <scheme val="minor"/>
      </rPr>
      <t>:-</t>
    </r>
  </si>
  <si>
    <r>
      <rPr>
        <b/>
        <sz val="16"/>
        <rFont val="Calibri"/>
        <family val="2"/>
        <scheme val="minor"/>
      </rPr>
      <t>Employee Name</t>
    </r>
    <r>
      <rPr>
        <b/>
        <sz val="16"/>
        <rFont val="Kruti Dev 010"/>
      </rPr>
      <t xml:space="preserve"> </t>
    </r>
    <r>
      <rPr>
        <b/>
        <sz val="16"/>
        <rFont val="Calibri"/>
        <family val="2"/>
        <scheme val="minor"/>
      </rPr>
      <t>:-</t>
    </r>
  </si>
  <si>
    <r>
      <rPr>
        <b/>
        <sz val="16"/>
        <rFont val="Calibri"/>
        <family val="2"/>
        <scheme val="minor"/>
      </rPr>
      <t>PAN No.</t>
    </r>
    <r>
      <rPr>
        <b/>
        <sz val="16"/>
        <rFont val="Kruti Dev 010"/>
      </rPr>
      <t xml:space="preserve"> </t>
    </r>
    <r>
      <rPr>
        <b/>
        <sz val="16"/>
        <rFont val="Calibri"/>
        <family val="2"/>
        <scheme val="minor"/>
      </rPr>
      <t>:-</t>
    </r>
  </si>
  <si>
    <t>School Name :-</t>
  </si>
  <si>
    <r>
      <rPr>
        <b/>
        <sz val="16"/>
        <rFont val="Calibri"/>
        <family val="2"/>
        <scheme val="minor"/>
      </rPr>
      <t xml:space="preserve">    7th PAY  HRA </t>
    </r>
    <r>
      <rPr>
        <b/>
        <sz val="16"/>
        <rFont val="Kruti Dev 010"/>
      </rPr>
      <t>izfr'kr esa %&amp;</t>
    </r>
  </si>
  <si>
    <r>
      <rPr>
        <b/>
        <sz val="16"/>
        <rFont val="Calibri"/>
        <family val="2"/>
        <scheme val="minor"/>
      </rPr>
      <t>%</t>
    </r>
    <r>
      <rPr>
        <b/>
        <sz val="16"/>
        <rFont val="Kruti Dev 010"/>
      </rPr>
      <t xml:space="preserve">                            </t>
    </r>
    <r>
      <rPr>
        <b/>
        <sz val="16"/>
        <rFont val="Calibri"/>
        <family val="2"/>
        <scheme val="minor"/>
      </rPr>
      <t>GPF / NPS :-</t>
    </r>
    <r>
      <rPr>
        <b/>
        <sz val="16"/>
        <rFont val="Kruti Dev 010"/>
      </rPr>
      <t xml:space="preserve"> </t>
    </r>
  </si>
  <si>
    <t>First Unlock Cell Entry Fill Up Then Click On Go to Next Sheet Button</t>
  </si>
  <si>
    <t>S.N.</t>
  </si>
  <si>
    <t>Month</t>
  </si>
  <si>
    <t>HRA</t>
  </si>
  <si>
    <t>Bonus</t>
  </si>
  <si>
    <t>Above 60</t>
  </si>
  <si>
    <t>FEB</t>
  </si>
  <si>
    <t>PL Surrender</t>
  </si>
  <si>
    <t>Employee Name :-</t>
  </si>
  <si>
    <t>Other Arrear</t>
  </si>
  <si>
    <t xml:space="preserve">Other </t>
  </si>
  <si>
    <r>
      <t xml:space="preserve">Use  Button For going to Next Sheet </t>
    </r>
    <r>
      <rPr>
        <b/>
        <sz val="18"/>
        <color rgb="FFFFFF00"/>
        <rFont val="Wingdings"/>
        <charset val="2"/>
      </rPr>
      <t>H</t>
    </r>
  </si>
  <si>
    <t>osru dVkSrh ds vfrfjDr dVkSfr;k ftlds rgr vki vk;dj esa NwV pkgrs gSa] rFkk vfrfjDr ¼vU;½ vk; dks ;gkW ij bUnzkt djsA</t>
  </si>
  <si>
    <t>osru Mªk ekufp=</t>
  </si>
  <si>
    <t>PAN No. :-</t>
  </si>
  <si>
    <t>Bank A/C.</t>
  </si>
  <si>
    <r>
      <t xml:space="preserve">TOTAL </t>
    </r>
    <r>
      <rPr>
        <b/>
        <sz val="10"/>
        <color theme="1"/>
        <rFont val="Wingdings"/>
        <charset val="2"/>
      </rPr>
      <t>F</t>
    </r>
  </si>
  <si>
    <t>Signature of Employee</t>
  </si>
  <si>
    <t>Signature of DDO</t>
  </si>
  <si>
    <t>uke deZpkjh %</t>
  </si>
  <si>
    <t xml:space="preserve"> in %</t>
  </si>
  <si>
    <t>PAN :</t>
  </si>
  <si>
    <t>#-</t>
  </si>
  <si>
    <t>E</t>
  </si>
  <si>
    <r>
      <t>x`g fdjk;k] /kkjk 10¼</t>
    </r>
    <r>
      <rPr>
        <sz val="12"/>
        <rFont val="Calibri"/>
        <family val="2"/>
        <scheme val="minor"/>
      </rPr>
      <t>13-</t>
    </r>
    <r>
      <rPr>
        <sz val="9"/>
        <rFont val="Calibri"/>
        <family val="2"/>
        <scheme val="minor"/>
      </rPr>
      <t>A</t>
    </r>
    <r>
      <rPr>
        <sz val="12"/>
        <rFont val="Kruti Dev 010"/>
      </rPr>
      <t xml:space="preserve">½ ds vUrxrZ ,oa /kkjk 10¼14½ds vUrxrZ vU; Hkrs tks dj eqDÙk gSA </t>
    </r>
  </si>
  <si>
    <t xml:space="preserve">                                                              'ks"k ¼2&amp;3½</t>
  </si>
  <si>
    <r>
      <t xml:space="preserve"> ¼</t>
    </r>
    <r>
      <rPr>
        <sz val="12"/>
        <rFont val="Calibri"/>
        <family val="2"/>
        <scheme val="minor"/>
      </rPr>
      <t>i</t>
    </r>
    <r>
      <rPr>
        <sz val="12"/>
        <rFont val="Kruti Dev 010"/>
      </rPr>
      <t>½euksjatu Hkrk /kkjk 16 ¼</t>
    </r>
    <r>
      <rPr>
        <sz val="12"/>
        <rFont val="Calibri"/>
        <family val="2"/>
        <scheme val="minor"/>
      </rPr>
      <t>ii</t>
    </r>
    <r>
      <rPr>
        <sz val="12"/>
        <rFont val="Kruti Dev 010"/>
      </rPr>
      <t xml:space="preserve">½ ds vUrxrZ </t>
    </r>
  </si>
  <si>
    <r>
      <t xml:space="preserve"> ¼</t>
    </r>
    <r>
      <rPr>
        <sz val="12"/>
        <rFont val="Calibri"/>
        <family val="2"/>
        <scheme val="minor"/>
      </rPr>
      <t>ii</t>
    </r>
    <r>
      <rPr>
        <sz val="12"/>
        <rFont val="Kruti Dev 010"/>
      </rPr>
      <t>½ O;o;k; dj /kkjk 16 ¼</t>
    </r>
    <r>
      <rPr>
        <sz val="12"/>
        <rFont val="Calibri"/>
        <family val="2"/>
        <scheme val="minor"/>
      </rPr>
      <t>iii</t>
    </r>
    <r>
      <rPr>
        <sz val="12"/>
        <rFont val="Kruti Dev 010"/>
      </rPr>
      <t xml:space="preserve">½ ds vUrxrZ </t>
    </r>
  </si>
  <si>
    <r>
      <t xml:space="preserve"> ¼</t>
    </r>
    <r>
      <rPr>
        <sz val="12"/>
        <rFont val="Calibri"/>
        <family val="2"/>
        <scheme val="minor"/>
      </rPr>
      <t>iii</t>
    </r>
    <r>
      <rPr>
        <sz val="12"/>
        <rFont val="Kruti Dev 010"/>
      </rPr>
      <t>½ LVs.MMZ fMMsD'ku</t>
    </r>
    <r>
      <rPr>
        <sz val="12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(Standard Deduction)</t>
    </r>
    <r>
      <rPr>
        <sz val="10"/>
        <rFont val="Kruti Dev 010"/>
      </rPr>
      <t xml:space="preserve">  </t>
    </r>
    <r>
      <rPr>
        <sz val="12"/>
        <rFont val="Kruti Dev 010"/>
      </rPr>
      <t>50]000 ¼vf/kdre½</t>
    </r>
  </si>
  <si>
    <t xml:space="preserve">                                                           'ks"k ¼4&amp;5½</t>
  </si>
  <si>
    <t>¼v½x`g lEifr ls vk;%¼1½ Loa; ds mi;ksx esa &amp;'kwU;</t>
  </si>
  <si>
    <t>¼2½ izkIr fdjk;k #-</t>
  </si>
  <si>
    <t xml:space="preserve">¼c½ ?kVk;sa </t>
  </si>
  <si>
    <r>
      <t xml:space="preserve"> fdjk;s dk </t>
    </r>
    <r>
      <rPr>
        <sz val="10"/>
        <rFont val="Calibri"/>
        <family val="2"/>
        <scheme val="minor"/>
      </rPr>
      <t>30%</t>
    </r>
  </si>
  <si>
    <t xml:space="preserve"> x`g _.k ij C;kt</t>
  </si>
  <si>
    <t xml:space="preserve"> x`gdj </t>
  </si>
  <si>
    <t xml:space="preserve">  ;ksx 7¼c½</t>
  </si>
  <si>
    <t xml:space="preserve"> 'ks"k &amp;@$¼7¼v½ ,oa ;ksx 7¼c½ dk½  </t>
  </si>
  <si>
    <t>cpr [kkrs ij C;kt %</t>
  </si>
  <si>
    <t>dqy 'ks"k &amp;@$¼6,oa 7½</t>
  </si>
  <si>
    <t>vU; vk;  %</t>
  </si>
  <si>
    <t xml:space="preserve"> ;ksx ¼8$9½</t>
  </si>
  <si>
    <t xml:space="preserve">ldy vk;                                                                                     </t>
  </si>
  <si>
    <r>
      <rPr>
        <b/>
        <sz val="12"/>
        <rFont val="Kruti Dev 010"/>
      </rPr>
      <t xml:space="preserve">?kVkb;s dVkSSfr;k¡ %&amp; /kkjk </t>
    </r>
    <r>
      <rPr>
        <b/>
        <sz val="12"/>
        <rFont val="Calibri"/>
        <family val="2"/>
        <scheme val="minor"/>
      </rPr>
      <t xml:space="preserve">US </t>
    </r>
    <r>
      <rPr>
        <b/>
        <sz val="10"/>
        <rFont val="Arial"/>
        <family val="2"/>
      </rPr>
      <t>80C, 80CCC,80CCD (1)</t>
    </r>
  </si>
  <si>
    <r>
      <t xml:space="preserve">(A) </t>
    </r>
    <r>
      <rPr>
        <sz val="10"/>
        <rFont val="Kruti Dev 010"/>
      </rPr>
      <t xml:space="preserve">vf/kdre lhek </t>
    </r>
    <r>
      <rPr>
        <sz val="10"/>
        <rFont val="DevLys 010"/>
      </rPr>
      <t xml:space="preserve">1]50]000@&amp; </t>
    </r>
    <r>
      <rPr>
        <sz val="10"/>
        <rFont val="Kruti Dev 010"/>
      </rPr>
      <t>¼/kkjk</t>
    </r>
    <r>
      <rPr>
        <sz val="10"/>
        <rFont val="DevLys 010"/>
      </rPr>
      <t xml:space="preserve"> </t>
    </r>
    <r>
      <rPr>
        <sz val="10"/>
        <rFont val="Arial"/>
        <family val="2"/>
      </rPr>
      <t>80CCE</t>
    </r>
    <r>
      <rPr>
        <sz val="10"/>
        <rFont val="DevLys 010"/>
      </rPr>
      <t xml:space="preserve"> </t>
    </r>
    <r>
      <rPr>
        <sz val="10"/>
        <rFont val="Kruti Dev 010"/>
      </rPr>
      <t xml:space="preserve">½ ] ¼/kkjk </t>
    </r>
    <r>
      <rPr>
        <sz val="10"/>
        <rFont val="Arial"/>
        <family val="2"/>
      </rPr>
      <t xml:space="preserve">80CCD (2), </t>
    </r>
    <r>
      <rPr>
        <sz val="10"/>
        <rFont val="Kruti Dev 010"/>
      </rPr>
      <t>ds vykok</t>
    </r>
  </si>
  <si>
    <t>(i)</t>
  </si>
  <si>
    <r>
      <t>jkT; chek</t>
    </r>
    <r>
      <rPr>
        <sz val="11"/>
        <rFont val="Calibri"/>
        <family val="2"/>
        <scheme val="minor"/>
      </rPr>
      <t xml:space="preserve"> </t>
    </r>
    <r>
      <rPr>
        <sz val="11"/>
        <rFont val="Kruti Dev 010"/>
      </rPr>
      <t>¼</t>
    </r>
    <r>
      <rPr>
        <sz val="11"/>
        <rFont val="Calibri"/>
        <family val="2"/>
        <scheme val="minor"/>
      </rPr>
      <t>SI)</t>
    </r>
  </si>
  <si>
    <t>(xi)</t>
  </si>
  <si>
    <r>
      <t xml:space="preserve">isa'ku ;kstuk esa va'knku </t>
    </r>
    <r>
      <rPr>
        <b/>
        <sz val="10"/>
        <rFont val="Calibri"/>
        <family val="2"/>
        <scheme val="minor"/>
      </rPr>
      <t xml:space="preserve">ECPF </t>
    </r>
    <r>
      <rPr>
        <b/>
        <sz val="10"/>
        <rFont val="Kruti Dev 010"/>
      </rPr>
      <t xml:space="preserve">/kkjk </t>
    </r>
    <r>
      <rPr>
        <b/>
        <sz val="10"/>
        <rFont val="Calibri"/>
        <family val="2"/>
        <scheme val="minor"/>
      </rPr>
      <t>80ccd(1</t>
    </r>
    <r>
      <rPr>
        <b/>
        <sz val="10"/>
        <rFont val="Kruti Dev 010"/>
      </rPr>
      <t>½</t>
    </r>
    <r>
      <rPr>
        <sz val="10"/>
        <rFont val="Kruti Dev 010"/>
      </rPr>
      <t xml:space="preserve">
</t>
    </r>
  </si>
  <si>
    <t>(ii)</t>
  </si>
  <si>
    <t>(xii)</t>
  </si>
  <si>
    <r>
      <t xml:space="preserve">isa'ku Iyku gsrq va'knku ¼/kkjk </t>
    </r>
    <r>
      <rPr>
        <sz val="11"/>
        <rFont val="Calibri"/>
        <family val="2"/>
        <scheme val="minor"/>
      </rPr>
      <t>80ccc</t>
    </r>
    <r>
      <rPr>
        <sz val="11"/>
        <rFont val="Kruti Dev 010"/>
      </rPr>
      <t>½</t>
    </r>
  </si>
  <si>
    <t>(iii)</t>
  </si>
  <si>
    <r>
      <t>jk"Vªh; cpr i= ¼</t>
    </r>
    <r>
      <rPr>
        <sz val="11"/>
        <rFont val="Calibri"/>
        <family val="2"/>
        <scheme val="minor"/>
      </rPr>
      <t>NSC)</t>
    </r>
  </si>
  <si>
    <t>(xiii)</t>
  </si>
  <si>
    <t>jk"Vªh; cpr i= ij vnr C;kt</t>
  </si>
  <si>
    <t>(iv)</t>
  </si>
  <si>
    <r>
      <t>yksd Hkfo"; fuf/k ¼</t>
    </r>
    <r>
      <rPr>
        <sz val="11"/>
        <rFont val="Calibri"/>
        <family val="2"/>
        <scheme val="minor"/>
      </rPr>
      <t>PPF)</t>
    </r>
  </si>
  <si>
    <t>(xiv)</t>
  </si>
  <si>
    <t xml:space="preserve">V;w'ku Qhl </t>
  </si>
  <si>
    <t>(v)</t>
  </si>
  <si>
    <r>
      <t>jk"Vªh; cpr Ldhe ¼</t>
    </r>
    <r>
      <rPr>
        <sz val="11"/>
        <rFont val="Calibri"/>
        <family val="2"/>
        <scheme val="minor"/>
      </rPr>
      <t>NSS)</t>
    </r>
  </si>
  <si>
    <t>(xv)</t>
  </si>
  <si>
    <t>bfDoVh fyad lsfoax Ldhe</t>
  </si>
  <si>
    <t>(vi)</t>
  </si>
  <si>
    <r>
      <t>lkekU; izko/kk;h fuf/k ¼</t>
    </r>
    <r>
      <rPr>
        <sz val="11"/>
        <rFont val="Calibri"/>
        <family val="2"/>
        <scheme val="minor"/>
      </rPr>
      <t>GPF)</t>
    </r>
  </si>
  <si>
    <t>(xvi)</t>
  </si>
  <si>
    <r>
      <t>LFkfxr okf"kZdh ¼</t>
    </r>
    <r>
      <rPr>
        <sz val="11"/>
        <rFont val="Calibri"/>
        <family val="2"/>
        <scheme val="minor"/>
      </rPr>
      <t>Defferred Annuty)</t>
    </r>
  </si>
  <si>
    <t>(vii)</t>
  </si>
  <si>
    <r>
      <t>lkewfgd chek izhfe;e ¼</t>
    </r>
    <r>
      <rPr>
        <sz val="11"/>
        <rFont val="Calibri"/>
        <family val="2"/>
        <scheme val="minor"/>
      </rPr>
      <t>G.Ins.)</t>
    </r>
  </si>
  <si>
    <t>(xvii)</t>
  </si>
  <si>
    <r>
      <t xml:space="preserve">ih-,y-vkbZ- </t>
    </r>
    <r>
      <rPr>
        <b/>
        <sz val="10"/>
        <rFont val="Kruti Dev 010"/>
      </rPr>
      <t>¼</t>
    </r>
    <r>
      <rPr>
        <b/>
        <sz val="10"/>
        <rFont val="Calibri"/>
        <family val="2"/>
        <scheme val="minor"/>
      </rPr>
      <t>PLI)</t>
    </r>
  </si>
  <si>
    <t>(viii)</t>
  </si>
  <si>
    <t>;w- ,y- vkbZ- ih-@okf"kZd Iyku</t>
  </si>
  <si>
    <t>(xviii)</t>
  </si>
  <si>
    <t>(ix)</t>
  </si>
  <si>
    <r>
      <t>x`g _.k fdLr ¼</t>
    </r>
    <r>
      <rPr>
        <sz val="11"/>
        <rFont val="Calibri"/>
        <family val="2"/>
        <scheme val="minor"/>
      </rPr>
      <t>HBA Premium)</t>
    </r>
  </si>
  <si>
    <t>(xix)</t>
  </si>
  <si>
    <t>lqdU;k le`f) ;kstuk esa tek jkf'k</t>
  </si>
  <si>
    <t>(x)</t>
  </si>
  <si>
    <t>(xx)</t>
  </si>
  <si>
    <r>
      <rPr>
        <b/>
        <sz val="12"/>
        <rFont val="Kruti Dev 010"/>
      </rPr>
      <t>;ksx</t>
    </r>
    <r>
      <rPr>
        <b/>
        <sz val="12"/>
        <rFont val="Times New Roman"/>
        <family val="1"/>
      </rPr>
      <t xml:space="preserve"> ( i </t>
    </r>
    <r>
      <rPr>
        <b/>
        <sz val="12"/>
        <rFont val="Kruti Dev 010"/>
      </rPr>
      <t>ls</t>
    </r>
    <r>
      <rPr>
        <b/>
        <sz val="12"/>
        <rFont val="Times New Roman"/>
        <family val="1"/>
      </rPr>
      <t xml:space="preserve"> xviii )</t>
    </r>
  </si>
  <si>
    <t xml:space="preserve">                        vf/kdre dVkSrh dh jkf'k 1-50 yk[k #i, rd</t>
  </si>
  <si>
    <r>
      <rPr>
        <sz val="10"/>
        <rFont val="Arial"/>
        <family val="2"/>
      </rPr>
      <t>(B)</t>
    </r>
    <r>
      <rPr>
        <sz val="12"/>
        <rFont val="Arial"/>
        <family val="2"/>
      </rPr>
      <t xml:space="preserve"> </t>
    </r>
    <r>
      <rPr>
        <sz val="12"/>
        <rFont val="Kruti Dev 010"/>
      </rPr>
      <t>?kVkb;s&amp; /kkjk</t>
    </r>
    <r>
      <rPr>
        <sz val="12"/>
        <rFont val="DevLys 010"/>
      </rPr>
      <t xml:space="preserve"> </t>
    </r>
    <r>
      <rPr>
        <sz val="10"/>
        <rFont val="Calibri"/>
        <family val="2"/>
        <scheme val="minor"/>
      </rPr>
      <t>80CCD(2)</t>
    </r>
    <r>
      <rPr>
        <sz val="12"/>
        <rFont val="DevLys 010"/>
      </rPr>
      <t xml:space="preserve"> </t>
    </r>
    <r>
      <rPr>
        <sz val="12"/>
        <rFont val="Kruti Dev 010"/>
      </rPr>
      <t xml:space="preserve">fu;ksDrk }kjk isa'ku va'knku dh jkf'k ¼vf/kdre osru dk </t>
    </r>
    <r>
      <rPr>
        <sz val="12"/>
        <rFont val="Calibri"/>
        <family val="2"/>
        <scheme val="minor"/>
      </rPr>
      <t>10</t>
    </r>
    <r>
      <rPr>
        <sz val="9"/>
        <rFont val="Calibri"/>
        <family val="2"/>
        <scheme val="minor"/>
      </rPr>
      <t>%</t>
    </r>
    <r>
      <rPr>
        <sz val="12"/>
        <rFont val="Calibri"/>
        <family val="2"/>
        <scheme val="minor"/>
      </rPr>
      <t>)</t>
    </r>
    <r>
      <rPr>
        <sz val="12"/>
        <rFont val="Kruti Dev 010"/>
      </rPr>
      <t xml:space="preserve"> i`Fkd ls NwV</t>
    </r>
  </si>
  <si>
    <r>
      <rPr>
        <sz val="10"/>
        <rFont val="Arial"/>
        <family val="2"/>
      </rPr>
      <t>(C)</t>
    </r>
    <r>
      <rPr>
        <sz val="12"/>
        <rFont val="Arial"/>
        <family val="2"/>
      </rPr>
      <t xml:space="preserve"> </t>
    </r>
    <r>
      <rPr>
        <sz val="12"/>
        <rFont val="Kruti Dev 010"/>
      </rPr>
      <t>?kVkb;s &amp; /kkjk</t>
    </r>
    <r>
      <rPr>
        <sz val="12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80CCD (1B)</t>
    </r>
    <r>
      <rPr>
        <sz val="12"/>
        <rFont val="Arial"/>
        <family val="2"/>
      </rPr>
      <t xml:space="preserve"> </t>
    </r>
    <r>
      <rPr>
        <sz val="12"/>
        <rFont val="Kruti Dev 010"/>
      </rPr>
      <t>uohu isa'ku ;kstuk esa vfrfjDr va'knku ¼vf/kdre :- 50]000</t>
    </r>
    <r>
      <rPr>
        <sz val="12"/>
        <rFont val="Arial"/>
        <family val="2"/>
      </rPr>
      <t>)</t>
    </r>
  </si>
  <si>
    <r>
      <t xml:space="preserve">;ksx </t>
    </r>
    <r>
      <rPr>
        <sz val="13"/>
        <rFont val="Calibri"/>
        <family val="2"/>
        <scheme val="minor"/>
      </rPr>
      <t xml:space="preserve">11(A+B+C)      </t>
    </r>
  </si>
  <si>
    <t xml:space="preserve"> vU; dVkSfr;k¡</t>
  </si>
  <si>
    <r>
      <t xml:space="preserve">1-/kkjk </t>
    </r>
    <r>
      <rPr>
        <sz val="10"/>
        <rFont val="Calibri"/>
        <family val="2"/>
        <scheme val="minor"/>
      </rPr>
      <t>80 D</t>
    </r>
    <r>
      <rPr>
        <sz val="12"/>
        <rFont val="Kruti Dev 010"/>
      </rPr>
      <t xml:space="preserve"> fpfdRlk chek izhfe;e </t>
    </r>
    <r>
      <rPr>
        <sz val="10"/>
        <rFont val="Kruti Dev 010"/>
      </rPr>
      <t>¼Lo;a]ifr@iRuh o cPpksa ds fy, : 25000] ekrk&amp;firk ds fy, : 25000]lhfu;j flVhtu : 50000½</t>
    </r>
  </si>
  <si>
    <r>
      <t xml:space="preserve">2- /kkjk </t>
    </r>
    <r>
      <rPr>
        <sz val="10"/>
        <rFont val="Calibri"/>
        <family val="2"/>
        <scheme val="minor"/>
      </rPr>
      <t>80DD</t>
    </r>
    <r>
      <rPr>
        <sz val="12"/>
        <rFont val="Kruti Dev 010"/>
      </rPr>
      <t xml:space="preserve"> fodykax vkfJrksa ds fpfdRlk mipkj </t>
    </r>
    <r>
      <rPr>
        <sz val="11"/>
        <rFont val="Kruti Dev 010"/>
      </rPr>
      <t xml:space="preserve">¼vf/kdre 75]000 rFkk </t>
    </r>
    <r>
      <rPr>
        <sz val="10"/>
        <rFont val="Calibri"/>
        <family val="2"/>
        <scheme val="minor"/>
      </rPr>
      <t>80%</t>
    </r>
    <r>
      <rPr>
        <sz val="11"/>
        <rFont val="Kruti Dev 010"/>
      </rPr>
      <t xml:space="preserve"> ;k vf/kd fodykaxrk 125]000½</t>
    </r>
  </si>
  <si>
    <r>
      <t xml:space="preserve">3- /kkjk </t>
    </r>
    <r>
      <rPr>
        <sz val="10"/>
        <rFont val="Calibri"/>
        <family val="2"/>
        <scheme val="minor"/>
      </rPr>
      <t>80DDB</t>
    </r>
    <r>
      <rPr>
        <sz val="12"/>
        <rFont val="Calibri"/>
        <family val="2"/>
        <scheme val="minor"/>
      </rPr>
      <t xml:space="preserve"> </t>
    </r>
    <r>
      <rPr>
        <sz val="12"/>
        <rFont val="Kruti Dev 010"/>
      </rPr>
      <t xml:space="preserve">fof'k"V jksaxksa ds mipkj gsrq dVkSrh </t>
    </r>
    <r>
      <rPr>
        <sz val="11"/>
        <rFont val="Kruti Dev 010"/>
      </rPr>
      <t>¼vf/kdre : 40]000] lhfu;j flVhtu gsrq : 100]000½</t>
    </r>
  </si>
  <si>
    <r>
      <t xml:space="preserve">4- /kkjk </t>
    </r>
    <r>
      <rPr>
        <sz val="10"/>
        <rFont val="Calibri"/>
        <family val="2"/>
        <scheme val="minor"/>
      </rPr>
      <t>80E</t>
    </r>
    <r>
      <rPr>
        <sz val="12"/>
        <rFont val="Kruti Dev 010"/>
      </rPr>
      <t xml:space="preserve"> mPp f'k{kk gsrq fy, _.k dk C;kt</t>
    </r>
  </si>
  <si>
    <r>
      <t xml:space="preserve">6- /kkjk </t>
    </r>
    <r>
      <rPr>
        <sz val="10"/>
        <rFont val="Calibri"/>
        <family val="2"/>
        <scheme val="minor"/>
      </rPr>
      <t>80U</t>
    </r>
    <r>
      <rPr>
        <sz val="12"/>
        <rFont val="Calibri"/>
        <family val="2"/>
        <scheme val="minor"/>
      </rPr>
      <t xml:space="preserve"> </t>
    </r>
    <r>
      <rPr>
        <sz val="12"/>
        <rFont val="Kruti Dev 010"/>
      </rPr>
      <t xml:space="preserve">LFkkbZ :i ls 'kkjhfjd vleFkZrrk dh n'kk esa </t>
    </r>
    <r>
      <rPr>
        <sz val="11"/>
        <rFont val="Kruti Dev 010"/>
      </rPr>
      <t>¼vf/kdre 75]000 rFkk  vf/kfu;e 1995ds vuqlkj 125]000½</t>
    </r>
  </si>
  <si>
    <r>
      <t xml:space="preserve">7- /kkjk </t>
    </r>
    <r>
      <rPr>
        <sz val="10"/>
        <rFont val="Calibri"/>
        <family val="2"/>
        <scheme val="minor"/>
      </rPr>
      <t>80 TTA</t>
    </r>
    <r>
      <rPr>
        <sz val="12"/>
        <rFont val="Kruti Dev 010"/>
      </rPr>
      <t xml:space="preserve"> cpr [kkrs ij vf/kdre C;kt :- 10]000 </t>
    </r>
    <r>
      <rPr>
        <sz val="10"/>
        <rFont val="Calibri"/>
        <family val="2"/>
        <scheme val="minor"/>
      </rPr>
      <t xml:space="preserve">194(IA)  , </t>
    </r>
    <r>
      <rPr>
        <sz val="11"/>
        <rFont val="Calibri"/>
        <family val="2"/>
        <scheme val="minor"/>
      </rPr>
      <t xml:space="preserve">( </t>
    </r>
    <r>
      <rPr>
        <sz val="11"/>
        <rFont val="Kruti Dev 010"/>
      </rPr>
      <t>ofj"B ukxfjdks C;kt ij NwV 50000rd ½</t>
    </r>
  </si>
  <si>
    <r>
      <t xml:space="preserve">8- /kkjk </t>
    </r>
    <r>
      <rPr>
        <sz val="10"/>
        <rFont val="Calibri"/>
        <family val="2"/>
        <scheme val="minor"/>
      </rPr>
      <t>80 GGA</t>
    </r>
    <r>
      <rPr>
        <sz val="12"/>
        <rFont val="Kruti Dev 010"/>
      </rPr>
      <t xml:space="preserve"> vuqeksfnr oSKkfud] lkekftd] xzkeh.k fodkl vkfn gsrq fn;k x;k nku</t>
    </r>
  </si>
  <si>
    <t>dqy ;ksx 12 ¼ 1 ls 8 rd ½</t>
  </si>
  <si>
    <r>
      <t xml:space="preserve">dqy dVkSrh </t>
    </r>
    <r>
      <rPr>
        <b/>
        <sz val="10"/>
        <rFont val="Calibri"/>
        <family val="2"/>
        <scheme val="minor"/>
      </rPr>
      <t>( 11 + 12)</t>
    </r>
  </si>
  <si>
    <r>
      <t>dj ;ksX; vk;</t>
    </r>
    <r>
      <rPr>
        <sz val="12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( 10 - 13 )</t>
    </r>
  </si>
  <si>
    <r>
      <t xml:space="preserve">dqy vk; dh jkf'k dks lEiw.kZ djuk ¼ nl ds xq.kd esa ½ /kkjk </t>
    </r>
    <r>
      <rPr>
        <b/>
        <sz val="11"/>
        <rFont val="Calibri"/>
        <family val="2"/>
        <scheme val="minor"/>
      </rPr>
      <t>288A</t>
    </r>
  </si>
  <si>
    <t xml:space="preserve"> vk;dj dh x.kuk  mijksDr dkWye 15 ds vk/kkj ij</t>
  </si>
  <si>
    <t>,d O;fDr dj nkrk</t>
  </si>
  <si>
    <t>ofj"B ukxfjd ¼60 ls 80 o"kZ rd½</t>
  </si>
  <si>
    <t>80 o"kZ ;k vf/kd vk;q</t>
  </si>
  <si>
    <t>¼1½ ;ksx vk;dj</t>
  </si>
  <si>
    <t>¼3½ 'ks"k vk;dj ¼1&amp;2½</t>
  </si>
  <si>
    <r>
      <t xml:space="preserve">¼4½ </t>
    </r>
    <r>
      <rPr>
        <sz val="12"/>
        <rFont val="Kruti Dev 010"/>
      </rPr>
      <t/>
    </r>
  </si>
  <si>
    <r>
      <t xml:space="preserve">f'k{kk ,oa fpfdRlk midj </t>
    </r>
    <r>
      <rPr>
        <sz val="12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4% </t>
    </r>
    <r>
      <rPr>
        <sz val="11"/>
        <rFont val="Kruti Dev 010"/>
      </rPr>
      <t xml:space="preserve"> ¼vk;dj ij ½</t>
    </r>
  </si>
  <si>
    <t xml:space="preserve">                                                             dqy vk;dj ¼3$4½</t>
  </si>
  <si>
    <t xml:space="preserve">?kVkb;s  %&amp; jkgr /kkjk 89 ds rgr </t>
  </si>
  <si>
    <t>dqy 'ks"k vk;dj</t>
  </si>
  <si>
    <t xml:space="preserve"> vk;dj dVkSrh
 dk fooj.k</t>
  </si>
  <si>
    <t xml:space="preserve">dqy;ksx dkWye 19 </t>
  </si>
  <si>
    <t>gLrk{kj dkfeZd</t>
  </si>
  <si>
    <r>
      <t xml:space="preserve">ljdkj }kjk ns; </t>
    </r>
    <r>
      <rPr>
        <sz val="12"/>
        <rFont val="Calibri"/>
        <family val="2"/>
        <scheme val="minor"/>
      </rPr>
      <t xml:space="preserve">NPS </t>
    </r>
    <r>
      <rPr>
        <sz val="12"/>
        <rFont val="Kruti Dev 010"/>
      </rPr>
      <t>dh jkf'k &amp;</t>
    </r>
  </si>
  <si>
    <r>
      <t xml:space="preserve">vk; % </t>
    </r>
    <r>
      <rPr>
        <sz val="11.5"/>
        <rFont val="Kruti Dev 010"/>
      </rPr>
      <t>o"kZ&amp;2020&amp;21 esa izkIr dqy osru ¼ dj ;ksX; lqfo/kkvksa ds eqY; lfgr ½</t>
    </r>
  </si>
  <si>
    <t>DA Arrear jul 19 to dec 20</t>
  </si>
  <si>
    <t>DA Arrear jan 20 to feb 20</t>
  </si>
  <si>
    <r>
      <t xml:space="preserve">Bonds </t>
    </r>
    <r>
      <rPr>
        <sz val="12"/>
        <rFont val="Kruti Dev 010"/>
      </rPr>
      <t>ls C;kt</t>
    </r>
  </si>
  <si>
    <t>2020-2021</t>
  </si>
  <si>
    <t>vk;dj x.kuk izi= o"kZ &amp;</t>
  </si>
  <si>
    <t>¼dj fu/kkZj.k o"kZ &amp;</t>
  </si>
  <si>
    <r>
      <t>2- LVs.MMZ fMMsD'ku</t>
    </r>
    <r>
      <rPr>
        <b/>
        <sz val="14"/>
        <color rgb="FFFFC000"/>
        <rFont val="Calibri"/>
        <family val="2"/>
        <scheme val="minor"/>
      </rPr>
      <t xml:space="preserve"> (Standard Deduction)</t>
    </r>
    <r>
      <rPr>
        <b/>
        <sz val="14"/>
        <color rgb="FFFFC000"/>
        <rFont val="Kruti Dev 010"/>
      </rPr>
      <t xml:space="preserve">  50]000 ¼vf/kdre½</t>
    </r>
  </si>
  <si>
    <r>
      <t xml:space="preserve">3- euksjatu Hkrk /kkjk </t>
    </r>
    <r>
      <rPr>
        <b/>
        <sz val="14"/>
        <color rgb="FFFFC000"/>
        <rFont val="Calibri"/>
        <family val="2"/>
        <scheme val="minor"/>
      </rPr>
      <t>16 (ii)</t>
    </r>
    <r>
      <rPr>
        <b/>
        <sz val="14"/>
        <color rgb="FFFFC000"/>
        <rFont val="Kruti Dev 010"/>
      </rPr>
      <t xml:space="preserve"> ds vUrxZr </t>
    </r>
  </si>
  <si>
    <r>
      <t>4- O;o;k; dj /kkjk 16 ¼</t>
    </r>
    <r>
      <rPr>
        <b/>
        <sz val="14"/>
        <color rgb="FFFFC000"/>
        <rFont val="Calibri"/>
        <family val="2"/>
        <scheme val="minor"/>
      </rPr>
      <t>iii</t>
    </r>
    <r>
      <rPr>
        <b/>
        <sz val="14"/>
        <color rgb="FFFFC000"/>
        <rFont val="Kruti Dev 010"/>
      </rPr>
      <t xml:space="preserve">½ ds vUrxrZ </t>
    </r>
  </si>
  <si>
    <t>5- x`g lEifr ls izkIr fdjk;k &amp; vk;</t>
  </si>
  <si>
    <t xml:space="preserve">6- x`gdj </t>
  </si>
  <si>
    <t>7- x`g _.k dh ewy fdLr ;gkW fy[kuh gSaA tks NwV ysuh gSaA</t>
  </si>
  <si>
    <t>8- x`g _.k fdLr ij C;kt tks NwV ysuk gS] ;gkW fy[ksA</t>
  </si>
  <si>
    <t>12- ;w- ,y- vkbZ- ih-@okf"kZd Iyku</t>
  </si>
  <si>
    <t>14- jk"Vªh; cpr i= ij vnr C;kt</t>
  </si>
  <si>
    <t>19- vU; vk;  %</t>
  </si>
  <si>
    <t>20- bfDoVh fyad lsfoax Ldhe</t>
  </si>
  <si>
    <t xml:space="preserve">21- x`g fdjk;k] /kkjk 10¼13-A½ ds vUrxrZ ,oa /kkjk 10¼14½ds vUrxrZ vU; Hkrs tks dj eqDÙk gSA </t>
  </si>
  <si>
    <r>
      <t>23- osru ds vykok tek djk;k x;k aavk;dj</t>
    </r>
    <r>
      <rPr>
        <b/>
        <sz val="14"/>
        <rFont val="Calibri"/>
        <family val="2"/>
        <scheme val="minor"/>
      </rPr>
      <t xml:space="preserve"> (TDS)</t>
    </r>
  </si>
  <si>
    <t>25- vU; dksbZ Hkh izdkj NqV feyrh gSa tks /kkjk 10¼13&amp;,½ o 10¼13½ds vUrxZr vkrh gks rks ;gk fy[ks ,oa vU; dj eqDr HkRrk ;gkW fy[ksaA</t>
  </si>
  <si>
    <r>
      <t xml:space="preserve">26- /kkjk </t>
    </r>
    <r>
      <rPr>
        <b/>
        <sz val="14"/>
        <rFont val="Calibri"/>
        <family val="2"/>
        <scheme val="minor"/>
      </rPr>
      <t xml:space="preserve">80CCC </t>
    </r>
    <r>
      <rPr>
        <b/>
        <sz val="14"/>
        <rFont val="Kruti Dev 010"/>
      </rPr>
      <t>- isa'ku Iyku gsrq va'knku</t>
    </r>
  </si>
  <si>
    <r>
      <t xml:space="preserve">28- /kkjk </t>
    </r>
    <r>
      <rPr>
        <b/>
        <sz val="14"/>
        <rFont val="Calibri"/>
        <family val="2"/>
        <scheme val="minor"/>
      </rPr>
      <t>80CCD(1B) -</t>
    </r>
    <r>
      <rPr>
        <b/>
        <sz val="14"/>
        <rFont val="Kruti Dev 010"/>
      </rPr>
      <t>uohu isa'ku ;kstuk esa vfrfjDr va'knku ¼vf/kdre :- 50]000½</t>
    </r>
  </si>
  <si>
    <r>
      <t xml:space="preserve">29- /kkjk </t>
    </r>
    <r>
      <rPr>
        <b/>
        <sz val="14"/>
        <rFont val="Calibri"/>
        <family val="2"/>
        <scheme val="minor"/>
      </rPr>
      <t xml:space="preserve">80D </t>
    </r>
    <r>
      <rPr>
        <b/>
        <sz val="14"/>
        <rFont val="Kruti Dev 010"/>
      </rPr>
      <t xml:space="preserve">- fpfdRlk chek izhfe;e </t>
    </r>
  </si>
  <si>
    <r>
      <t xml:space="preserve">30- /kkjk </t>
    </r>
    <r>
      <rPr>
        <b/>
        <sz val="14"/>
        <rFont val="Calibri"/>
        <family val="2"/>
        <scheme val="minor"/>
      </rPr>
      <t>80DD -</t>
    </r>
    <r>
      <rPr>
        <b/>
        <sz val="14"/>
        <rFont val="Kruti Dev 010"/>
      </rPr>
      <t xml:space="preserve"> fodykax vkfJrksa ds fpfdRlk mipkj </t>
    </r>
  </si>
  <si>
    <r>
      <t xml:space="preserve">31- /kkjk </t>
    </r>
    <r>
      <rPr>
        <b/>
        <sz val="14"/>
        <rFont val="Calibri"/>
        <family val="2"/>
        <scheme val="minor"/>
      </rPr>
      <t xml:space="preserve">80DDB </t>
    </r>
    <r>
      <rPr>
        <b/>
        <sz val="14"/>
        <rFont val="Kruti Dev 010"/>
      </rPr>
      <t>- fof'k"V jksxksa ds mipkj gsrq dVkSrh ¼vf/kdre 40000 :½</t>
    </r>
  </si>
  <si>
    <r>
      <t xml:space="preserve">32- /kkjk </t>
    </r>
    <r>
      <rPr>
        <b/>
        <sz val="14"/>
        <rFont val="Calibri"/>
        <family val="2"/>
        <scheme val="minor"/>
      </rPr>
      <t xml:space="preserve">80E </t>
    </r>
    <r>
      <rPr>
        <b/>
        <sz val="14"/>
        <rFont val="Kruti Dev 010"/>
      </rPr>
      <t xml:space="preserve">- mPp f'k{kk gsrq fy, _.k dk C;kt ¼/kkjk </t>
    </r>
    <r>
      <rPr>
        <b/>
        <sz val="14"/>
        <rFont val="Calibri"/>
        <family val="2"/>
        <scheme val="minor"/>
      </rPr>
      <t>80E</t>
    </r>
    <r>
      <rPr>
        <b/>
        <sz val="14"/>
        <rFont val="Kruti Dev 010"/>
      </rPr>
      <t>½</t>
    </r>
  </si>
  <si>
    <r>
      <t xml:space="preserve">33- /kkjk </t>
    </r>
    <r>
      <rPr>
        <b/>
        <sz val="14"/>
        <rFont val="Calibri"/>
        <family val="2"/>
        <scheme val="minor"/>
      </rPr>
      <t xml:space="preserve">80G </t>
    </r>
    <r>
      <rPr>
        <b/>
        <sz val="14"/>
        <rFont val="Kruti Dev 010"/>
      </rPr>
      <t xml:space="preserve">- /kekZFkZ laLFkkvksa vkfn dks fn;s nku ¼d Js.kh </t>
    </r>
    <r>
      <rPr>
        <b/>
        <sz val="14"/>
        <rFont val="Calibri"/>
        <family val="2"/>
        <scheme val="minor"/>
      </rPr>
      <t xml:space="preserve">100% </t>
    </r>
    <r>
      <rPr>
        <b/>
        <sz val="14"/>
        <rFont val="Kruti Dev 010"/>
      </rPr>
      <t xml:space="preserve">,oa [k Js.kh </t>
    </r>
    <r>
      <rPr>
        <b/>
        <sz val="14"/>
        <rFont val="Calibri"/>
        <family val="2"/>
        <scheme val="minor"/>
      </rPr>
      <t>50%</t>
    </r>
    <r>
      <rPr>
        <b/>
        <sz val="14"/>
        <rFont val="Kruti Dev 010"/>
      </rPr>
      <t>½</t>
    </r>
  </si>
  <si>
    <r>
      <t xml:space="preserve">34- /kkjk </t>
    </r>
    <r>
      <rPr>
        <b/>
        <sz val="14"/>
        <rFont val="Calibri"/>
        <family val="2"/>
        <scheme val="minor"/>
      </rPr>
      <t xml:space="preserve">80U </t>
    </r>
    <r>
      <rPr>
        <b/>
        <sz val="14"/>
        <rFont val="Kruti Dev 010"/>
      </rPr>
      <t xml:space="preserve">- LFkkbZ :i ls 'kkjhfjd vleFkZrrk </t>
    </r>
  </si>
  <si>
    <r>
      <t xml:space="preserve">36- /kkjk </t>
    </r>
    <r>
      <rPr>
        <b/>
        <sz val="14"/>
        <rFont val="Calibri"/>
        <family val="2"/>
        <scheme val="minor"/>
      </rPr>
      <t xml:space="preserve">80 GGA - </t>
    </r>
    <r>
      <rPr>
        <b/>
        <sz val="14"/>
        <rFont val="Kruti Dev 010"/>
      </rPr>
      <t>vuqeksfnr oSKkfud]lkekftd]xzkeh.k fodkl vkfn gsrq fn;k x;k nku</t>
    </r>
  </si>
  <si>
    <t>Up to Rs. 2,50,000</t>
  </si>
  <si>
    <t xml:space="preserve">आप विद्यमान आयकर दर या नवीन आयकर दर दोनों में से किसी एक विकल्प को चुनकर आयकर गणना प्रपत्र तैयार कर सकते है।  </t>
  </si>
  <si>
    <r>
      <t xml:space="preserve">10- ih-,y-vkbZ- </t>
    </r>
    <r>
      <rPr>
        <b/>
        <sz val="14"/>
        <color theme="8" tint="0.79998168889431442"/>
        <rFont val="Calibri"/>
        <family val="2"/>
        <scheme val="minor"/>
      </rPr>
      <t>(PLI)</t>
    </r>
  </si>
  <si>
    <r>
      <t xml:space="preserve">11- V;w'ku Qhl </t>
    </r>
    <r>
      <rPr>
        <b/>
        <sz val="14"/>
        <color theme="8" tint="0.79998168889431442"/>
        <rFont val="Calibri"/>
        <family val="2"/>
        <scheme val="minor"/>
      </rPr>
      <t>(Tution Fees)</t>
    </r>
  </si>
  <si>
    <r>
      <t>13- jk"Vªh; cpr i=</t>
    </r>
    <r>
      <rPr>
        <b/>
        <sz val="14"/>
        <color theme="8" tint="0.79998168889431442"/>
        <rFont val="Calibri"/>
        <family val="2"/>
        <scheme val="minor"/>
      </rPr>
      <t xml:space="preserve"> (NSC)</t>
    </r>
  </si>
  <si>
    <r>
      <t xml:space="preserve">15- yksd Hkfo"; fuf/k </t>
    </r>
    <r>
      <rPr>
        <b/>
        <sz val="14"/>
        <color theme="8" tint="0.79998168889431442"/>
        <rFont val="Calibri"/>
        <family val="2"/>
        <scheme val="minor"/>
      </rPr>
      <t>(PPF)</t>
    </r>
  </si>
  <si>
    <r>
      <t xml:space="preserve">16- jk"Vªh; cpr Ldhe </t>
    </r>
    <r>
      <rPr>
        <b/>
        <sz val="14"/>
        <color theme="8" tint="0.79998168889431442"/>
        <rFont val="Calibri"/>
        <family val="2"/>
        <scheme val="minor"/>
      </rPr>
      <t>(NSS)</t>
    </r>
  </si>
  <si>
    <r>
      <t>17- lqdU;k le`f) ;kstuk</t>
    </r>
    <r>
      <rPr>
        <b/>
        <sz val="14"/>
        <color theme="8" tint="0.79998168889431442"/>
        <rFont val="Calibri"/>
        <family val="2"/>
        <scheme val="minor"/>
      </rPr>
      <t xml:space="preserve"> (SSY)</t>
    </r>
  </si>
  <si>
    <r>
      <t xml:space="preserve">18-  </t>
    </r>
    <r>
      <rPr>
        <b/>
        <sz val="14"/>
        <color theme="8" tint="0.79998168889431442"/>
        <rFont val="Calibri"/>
        <family val="2"/>
        <scheme val="minor"/>
      </rPr>
      <t>Bonds</t>
    </r>
    <r>
      <rPr>
        <b/>
        <sz val="14"/>
        <color theme="8" tint="0.79998168889431442"/>
        <rFont val="Kruti Dev 010"/>
      </rPr>
      <t xml:space="preserve"> ls C;kt</t>
    </r>
  </si>
  <si>
    <r>
      <t>22- LFkfxr okf"kZdh ¼</t>
    </r>
    <r>
      <rPr>
        <b/>
        <sz val="14"/>
        <rFont val="Calibri"/>
        <family val="2"/>
        <scheme val="minor"/>
      </rPr>
      <t>Defferred Annuty)</t>
    </r>
  </si>
  <si>
    <t xml:space="preserve">24- vU; vk; ¼/kkjk 80 lh ds vUrxZr½ </t>
  </si>
  <si>
    <r>
      <t xml:space="preserve">35- /kkjk </t>
    </r>
    <r>
      <rPr>
        <b/>
        <sz val="14"/>
        <color rgb="FF400E3C"/>
        <rFont val="Calibri"/>
        <family val="2"/>
        <scheme val="minor"/>
      </rPr>
      <t>80TTA -</t>
    </r>
    <r>
      <rPr>
        <b/>
        <sz val="14"/>
        <color rgb="FF400E3C"/>
        <rFont val="Kruti Dev 010"/>
      </rPr>
      <t xml:space="preserve"> cpr [kkrs ij vf/kdre C;kt :- 10]000 </t>
    </r>
    <r>
      <rPr>
        <b/>
        <sz val="14"/>
        <color rgb="FF400E3C"/>
        <rFont val="Calibri"/>
        <family val="2"/>
        <scheme val="minor"/>
      </rPr>
      <t>194(IA)</t>
    </r>
  </si>
  <si>
    <r>
      <t xml:space="preserve">5- /kkjk </t>
    </r>
    <r>
      <rPr>
        <sz val="10"/>
        <rFont val="Calibri"/>
        <family val="2"/>
        <scheme val="minor"/>
      </rPr>
      <t>80G</t>
    </r>
    <r>
      <rPr>
        <sz val="12"/>
        <rFont val="Kruti Dev 010"/>
      </rPr>
      <t xml:space="preserve"> /kekZFkZ laLFkkvksa vkfn dks fn;s nku </t>
    </r>
    <r>
      <rPr>
        <sz val="11"/>
        <rFont val="Kruti Dev 010"/>
      </rPr>
      <t>¼ d Js.kh esa 100 izfr'kr ,oa [k Js.kh esa 50 izfr'kr½ ¼dsUnz o jkT; ljdkj ds QaM esa ½</t>
    </r>
  </si>
  <si>
    <t>37-   ,QMh vkfn vU; tek jkf'k ij izkIr dqy C;kt ¼ihih,Q dks NksM+dj½</t>
  </si>
  <si>
    <t>,QMh vkfn vU; tek jkf'k ij izkIr dqy C;kt</t>
  </si>
  <si>
    <t>2,50,001  to  5,00,000</t>
  </si>
  <si>
    <t>old</t>
  </si>
  <si>
    <t>New</t>
  </si>
  <si>
    <t>Vh-Mh-,l-
:Ik;s</t>
  </si>
  <si>
    <t>Qjojh 2021
:i;s</t>
  </si>
  <si>
    <t>tuojh 2021
:i;s</t>
  </si>
  <si>
    <t>vDVwcj ls fnlEcj
2020 :i;s</t>
  </si>
  <si>
    <t>flrEcj 2020
rd  :i;s</t>
  </si>
  <si>
    <t>H</t>
  </si>
  <si>
    <t xml:space="preserve">यदि आप NPS कार्मिक है और Section US 80CCD (1B) के अंतर्गत अधिकतम 50,000 की छूट लेना चाहते है तो यहाँ नीचे बॉक्स में क्लिक करे। </t>
  </si>
  <si>
    <t>abcde1234h</t>
  </si>
  <si>
    <t>EMPLOYEE  PAY  DETAIL</t>
  </si>
  <si>
    <t xml:space="preserve">t; xq:nso </t>
  </si>
  <si>
    <t>How to use this Programme</t>
  </si>
  <si>
    <r>
      <t xml:space="preserve">If you have Hindi font problem, then first you should install </t>
    </r>
    <r>
      <rPr>
        <b/>
        <i/>
        <sz val="14"/>
        <color rgb="FFFF0000"/>
        <rFont val="Calibri"/>
        <family val="2"/>
        <scheme val="minor"/>
      </rPr>
      <t>Hindi font KRUTI DEV 010</t>
    </r>
    <r>
      <rPr>
        <b/>
        <i/>
        <sz val="14"/>
        <color theme="1"/>
        <rFont val="Calibri"/>
        <family val="2"/>
        <scheme val="minor"/>
      </rPr>
      <t xml:space="preserve">  in your computer.</t>
    </r>
  </si>
  <si>
    <r>
      <t xml:space="preserve">vki bl ,Dly izksxzke ij dk;Z djus ls igys bUde VSDl foHkkx ds u;s :Yl o fu;e bUde VSDl foHkkx dh </t>
    </r>
    <r>
      <rPr>
        <sz val="14"/>
        <rFont val="Calibri"/>
        <family val="2"/>
        <scheme val="minor"/>
      </rPr>
      <t xml:space="preserve">website </t>
    </r>
    <r>
      <rPr>
        <sz val="14"/>
        <rFont val="Kruti Dev 010"/>
      </rPr>
      <t xml:space="preserve">vFkok ys[kk foK vDVqcj 2020 dkss t:j i&lt;+sA oSls bl ,Dly izksxzke esa iq.kZ lko/kkuh cjrh xbZ gSa] </t>
    </r>
    <r>
      <rPr>
        <b/>
        <sz val="14"/>
        <rFont val="Kruti Dev 010"/>
      </rPr>
      <t>fQj Hkh foHkkx ds fu;e gh loksZijh o fljks/kk;Z gSaA</t>
    </r>
  </si>
  <si>
    <r>
      <t xml:space="preserve">lcls igys vki jktLFkku lHkh 'kSf{kd osclkbZV ij ,Dly xq: ghjkyky tkV }kjk fufeZr vk;dj x.kuk ,Dly ,Iyhds'ku 2020&amp;21 ds viMsV otZu+ dks MkmuyksM djsasaA blds vykok vki </t>
    </r>
    <r>
      <rPr>
        <sz val="14"/>
        <rFont val="Calibri"/>
        <family val="2"/>
        <scheme val="minor"/>
      </rPr>
      <t>Google</t>
    </r>
    <r>
      <rPr>
        <sz val="14"/>
        <rFont val="Kruti Dev 010"/>
      </rPr>
      <t xml:space="preserve"> ij </t>
    </r>
    <r>
      <rPr>
        <sz val="14"/>
        <rFont val="Calibri"/>
        <family val="2"/>
        <scheme val="minor"/>
      </rPr>
      <t>Heeralal Jat</t>
    </r>
    <r>
      <rPr>
        <sz val="14"/>
        <rFont val="Kruti Dev 010"/>
      </rPr>
      <t xml:space="preserve"> fy[kdj lpZ djsaxs rks Hkh vkidks ist fey tk;sxkA tgka ls vki ;g izksxzke MkmuyksM dj ldrs gSaA mlds ckn ftrusa dkfeZdksa dh vk;dj x.kuk djuh gS] mruh gh ,Dly izksxzke 'khV dks muds uke ls vyx vyx Qkby esa </t>
    </r>
    <r>
      <rPr>
        <sz val="14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Save  </t>
    </r>
    <r>
      <rPr>
        <sz val="14"/>
        <rFont val="Kruti Dev 010"/>
      </rPr>
      <t xml:space="preserve">dj ysosaA izR;sad dkfeZd ds fy, ds fy, ,d QkbZy dks mi;ksx esa ysosaA </t>
    </r>
  </si>
  <si>
    <t>Most Doable Work</t>
  </si>
  <si>
    <r>
      <t xml:space="preserve">vki bl ,Dly izksxzke esa nksa 'khVksa ekLVj MkVk 'khV o ,DLV~zk fMMsD'ku 'khV dks lko/kkuhiwoZd vuykWd lsy tks lQsn dyj esa gSa] dks Hkjuk ¼MkVk fQfyax½ gSaA vkxs dh 'khVs vkWVksa tujsV gSaA os lHkh ykWd gSaA ogk ij vkidks dqN ugh djuk gSaA flQZ </t>
    </r>
    <r>
      <rPr>
        <sz val="14"/>
        <rFont val="Calibri"/>
        <family val="2"/>
        <scheme val="minor"/>
      </rPr>
      <t>A4</t>
    </r>
    <r>
      <rPr>
        <sz val="14"/>
        <rFont val="Kruti Dev 010"/>
      </rPr>
      <t xml:space="preserve"> lkbZt esa fizUV fudkyuk gSa vkSj ist Hkh lsV fd;k gqvk gSaA</t>
    </r>
  </si>
  <si>
    <t>Only Put Here Curser</t>
  </si>
  <si>
    <t>Above 80</t>
  </si>
  <si>
    <t>;g ,Dly izksaxzke lHkh dkfeZdksa ds fy, leku :i ls rS;kj fd;k x;k gSA ladyu ,oa x.kuk esa iw.kZ lko/kkuh j[kh xbZ gSA fQj Hkh =qfV ;k fdlh Hkh izdkj dh fofHkUurk dh fLFkfr esa vk;dj foHkkx ds fu;e gh ekU; gSA rS;kjdrkZ dk dksbZ mÙkjnkf;Ro ugha gksxkA</t>
  </si>
  <si>
    <t xml:space="preserve">This Programme Developed by:        HEERALAL JAT </t>
  </si>
  <si>
    <t>Senior Teacher</t>
  </si>
  <si>
    <t>heeralaljatchandawal@gmail.com</t>
  </si>
  <si>
    <t>V./P. - Chandawal Nagar, Teh.- sojat city, Dist.- Pali (Raj) 306306</t>
  </si>
  <si>
    <t>Mahatma Gandhi Government School (English Medium) BAR , PALI</t>
  </si>
  <si>
    <t>Instructions</t>
  </si>
  <si>
    <t>FORM NO. 16</t>
  </si>
  <si>
    <t>[(See Rule 31(1)(a)]</t>
  </si>
  <si>
    <t>PART-A</t>
  </si>
  <si>
    <t>Certificate under section 203 of the income-tax act, 1961 for Tax deducted at source on Salary.</t>
  </si>
  <si>
    <t>Name and address of the Employer</t>
  </si>
  <si>
    <t>Name and adress of the Employee</t>
  </si>
  <si>
    <t>PAN of the Deductor</t>
  </si>
  <si>
    <t>TAN of  the Deductor</t>
  </si>
  <si>
    <t>PAN of the Employee</t>
  </si>
  <si>
    <t>Employee Ref No.</t>
  </si>
  <si>
    <t>CIT (TDS)</t>
  </si>
  <si>
    <t>Assess. Year</t>
  </si>
  <si>
    <t>Peroid with the Employer</t>
  </si>
  <si>
    <t>Adress</t>
  </si>
  <si>
    <t>2021-22</t>
  </si>
  <si>
    <t>From</t>
  </si>
  <si>
    <t>To</t>
  </si>
  <si>
    <t>City</t>
  </si>
  <si>
    <t>PIN Code</t>
  </si>
  <si>
    <t>01-4-2020</t>
  </si>
  <si>
    <t>31-03-2021</t>
  </si>
  <si>
    <t>Summary of amount paid/credited and tax deducted at source thereon in respect of the employee</t>
  </si>
  <si>
    <t>Quarters</t>
  </si>
  <si>
    <t>Receipt Numbers of original quarterly statements of TDS under sub-secion (3) of section 200</t>
  </si>
  <si>
    <t>Amount paid/ credited</t>
  </si>
  <si>
    <t>Amount of tax deducted (Rs.)</t>
  </si>
  <si>
    <t>Amount of tax deposited/ remitted (Rs.)</t>
  </si>
  <si>
    <t>TOTAL (Rs.)</t>
  </si>
  <si>
    <t>I. Details of tax deducted and deposited in the Central Government account through book adjustment</t>
  </si>
  <si>
    <t>(The Deductor to provide payment-wise details of tax deducted and deposited with respect to the deductee)</t>
  </si>
  <si>
    <r>
      <t xml:space="preserve">Tax Deposited in respect of the deductee </t>
    </r>
    <r>
      <rPr>
        <b/>
        <sz val="10"/>
        <color indexed="8"/>
        <rFont val="Rupee Foradian"/>
        <family val="2"/>
      </rPr>
      <t>(Rs)</t>
    </r>
  </si>
  <si>
    <t>Book identification number (BIN)</t>
  </si>
  <si>
    <t>Receipt numbers of form No. 24G</t>
  </si>
  <si>
    <t>DDO serial number in Form No. 24G</t>
  </si>
  <si>
    <t>Date of transfer voucher (dd/mm/yyyy)</t>
  </si>
  <si>
    <t>Status of matching with Form No. 24G</t>
  </si>
  <si>
    <t>Total</t>
  </si>
  <si>
    <t xml:space="preserve">II. Details of Tax deducted and deposited in Central Government Account through Challan. </t>
  </si>
  <si>
    <t>(The deducter to provide payment-wise details of tax deducted and deposited with respect to the deductee)</t>
  </si>
  <si>
    <r>
      <t xml:space="preserve">Tax Deposited in respect on of the deductee </t>
    </r>
    <r>
      <rPr>
        <b/>
        <sz val="8"/>
        <color indexed="8"/>
        <rFont val="Rupee Foradian"/>
        <family val="2"/>
      </rPr>
      <t>(Rs)</t>
    </r>
  </si>
  <si>
    <t>Challan identification number (CIN)</t>
  </si>
  <si>
    <t>BSR code of the Bank Branch</t>
  </si>
  <si>
    <t>Date on which tax deposited (dd/mm/yyyy)</t>
  </si>
  <si>
    <t>Challan Serial Number</t>
  </si>
  <si>
    <t>Status of matching with OLTAS</t>
  </si>
  <si>
    <t>:: 2 ::</t>
  </si>
  <si>
    <t>Verification</t>
  </si>
  <si>
    <t>I</t>
  </si>
  <si>
    <t xml:space="preserve">Son/Daughter of </t>
  </si>
  <si>
    <t xml:space="preserve">working in the </t>
  </si>
  <si>
    <t xml:space="preserve">capacity of </t>
  </si>
  <si>
    <t xml:space="preserve">(designation) do hereby certify that a sum of </t>
  </si>
  <si>
    <t>Rs.</t>
  </si>
  <si>
    <t xml:space="preserve">(in words) has been deducted </t>
  </si>
  <si>
    <t>Place</t>
  </si>
  <si>
    <t>Date</t>
  </si>
  <si>
    <t>Signature of person responsible for deduction of tax</t>
  </si>
  <si>
    <t>Designation</t>
  </si>
  <si>
    <t>PART- B (Annexure)</t>
  </si>
  <si>
    <t>DETAILS OF SALARY PAID AND ANY OTHER INCOME AND TAX DEDUCTED</t>
  </si>
  <si>
    <t>1. Gross salary</t>
  </si>
  <si>
    <t>(a) Salary as per provisions contained in section 17(1)</t>
  </si>
  <si>
    <t>(b) Value of perquisites u/s 17(2) (as per Form No. 12BA, wherever applicable)</t>
  </si>
  <si>
    <t>(c) Profits in lieu of salary under section 17(3) (as per Form No. 12BA, wherever applicable)</t>
  </si>
  <si>
    <t>(d) Total  (a+b+c)</t>
  </si>
  <si>
    <t>2. Less: Allowance to the extent exempt u/s 10 House Rent Allowance</t>
  </si>
  <si>
    <t>Allowance</t>
  </si>
  <si>
    <t>House Rent Allow. US10 (13 A)</t>
  </si>
  <si>
    <t>US10 (14)</t>
  </si>
  <si>
    <t>3. Balance (1 - 2)</t>
  </si>
  <si>
    <t>4. Deductions: U/s 16</t>
  </si>
  <si>
    <t>(a)</t>
  </si>
  <si>
    <t>Standard Deduction (u/s 16 (ia)</t>
  </si>
  <si>
    <t>(b)</t>
  </si>
  <si>
    <t>Entertainment allowance</t>
  </si>
  <si>
    <t>(c)</t>
  </si>
  <si>
    <t>Tax on employment</t>
  </si>
  <si>
    <t>5. Aggregate of 4 (a) and (b)</t>
  </si>
  <si>
    <t>6. Income chargeable under the head "salaries" (3-5)</t>
  </si>
  <si>
    <t xml:space="preserve">7. Add: Any other income reported by employee </t>
  </si>
  <si>
    <t>Income</t>
  </si>
  <si>
    <t>Rs</t>
  </si>
  <si>
    <t>From House Property</t>
  </si>
  <si>
    <t>Saving Bank A/C interest</t>
  </si>
  <si>
    <t>8. Gross total income (6+7)</t>
  </si>
  <si>
    <t>9. Deductions under Chapter VI A</t>
  </si>
  <si>
    <t>(A) Section 80C, 80CCC and 80CCD</t>
  </si>
  <si>
    <t>(a) Section 80C</t>
  </si>
  <si>
    <t>Gross Amount</t>
  </si>
  <si>
    <t>Deductible Amount</t>
  </si>
  <si>
    <t>A</t>
  </si>
  <si>
    <t>(A)</t>
  </si>
  <si>
    <t>State Insurance</t>
  </si>
  <si>
    <t>Gr. Acc. Insurance</t>
  </si>
  <si>
    <t>LIC + ULIP + PLI</t>
  </si>
  <si>
    <t>PPF</t>
  </si>
  <si>
    <t>Home Loan Installment (Capital)</t>
  </si>
  <si>
    <t>Notified Bond Of NABARD</t>
  </si>
  <si>
    <t>Tution Fee</t>
  </si>
  <si>
    <t>NSC + Interest on NSC</t>
  </si>
  <si>
    <t>Sukanya Samridhi A/C</t>
  </si>
  <si>
    <t>Fixed Deposit above 5 years</t>
  </si>
  <si>
    <t>Mutual Fund</t>
  </si>
  <si>
    <t>(B) Section 80CCD(2)</t>
  </si>
  <si>
    <t>(C) Section 80CCD(1B)  (RS.-50000/-)</t>
  </si>
  <si>
    <t>………………… 3</t>
  </si>
  <si>
    <t>:: 3 ::</t>
  </si>
  <si>
    <t>Qualifying amount</t>
  </si>
  <si>
    <t>U/S 80D</t>
  </si>
  <si>
    <t>U/S 80DD</t>
  </si>
  <si>
    <t>U/S 80DDB</t>
  </si>
  <si>
    <t>U/S 80E</t>
  </si>
  <si>
    <t>U/S 80G</t>
  </si>
  <si>
    <t>U/S 80GG</t>
  </si>
  <si>
    <t>U/S 80GGA</t>
  </si>
  <si>
    <t>U/S 80U</t>
  </si>
  <si>
    <t xml:space="preserve">10. Aggregate of deductible amount under chapter VIA </t>
  </si>
  <si>
    <t>11. Total income (8-10)</t>
  </si>
  <si>
    <t>(Roundup Figures of Rs 10)</t>
  </si>
  <si>
    <t>12. Tax on total income</t>
  </si>
  <si>
    <t>13. Rebate U/s 87 A (Taxable Income below Rs. 5,00,000/-)</t>
  </si>
  <si>
    <t>14. Tax payable (12-13)</t>
  </si>
  <si>
    <t>15. Education &amp; Health cess @ 4% (on tax computed at S.No. 12)</t>
  </si>
  <si>
    <t>16. Tax payable (14+15) [Round off U/s 288 B]</t>
  </si>
  <si>
    <t>17. Less:- Relief under section 89 (Attach Form 10E)</t>
  </si>
  <si>
    <t>18. Tax payable (14-15)</t>
  </si>
  <si>
    <t>19. Tax deducted at source u/s 192 (1)</t>
  </si>
  <si>
    <t>The Commissioner of Income Tax, Pali</t>
  </si>
  <si>
    <t>PALI</t>
  </si>
  <si>
    <r>
      <t>2</t>
    </r>
    <r>
      <rPr>
        <vertAlign val="superscript"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 xml:space="preserve"> </t>
    </r>
  </si>
  <si>
    <r>
      <t>1</t>
    </r>
    <r>
      <rPr>
        <vertAlign val="superscript"/>
        <sz val="11"/>
        <color theme="1"/>
        <rFont val="Calibri"/>
        <family val="2"/>
        <scheme val="minor"/>
      </rPr>
      <t xml:space="preserve">st </t>
    </r>
  </si>
  <si>
    <r>
      <t>3</t>
    </r>
    <r>
      <rPr>
        <vertAlign val="superscript"/>
        <sz val="12"/>
        <color theme="1"/>
        <rFont val="Calibri"/>
        <family val="2"/>
        <scheme val="minor"/>
      </rPr>
      <t xml:space="preserve">rd  </t>
    </r>
  </si>
  <si>
    <r>
      <t>4</t>
    </r>
    <r>
      <rPr>
        <vertAlign val="superscript"/>
        <sz val="12"/>
        <color theme="1"/>
        <rFont val="Calibri"/>
        <family val="2"/>
        <scheme val="minor"/>
      </rPr>
      <t>th</t>
    </r>
    <r>
      <rPr>
        <sz val="12"/>
        <color theme="1"/>
        <rFont val="Calibri"/>
        <family val="2"/>
        <scheme val="minor"/>
      </rPr>
      <t xml:space="preserve"> </t>
    </r>
  </si>
  <si>
    <t>PRINCIPAL</t>
  </si>
  <si>
    <t>and is based on the books of account, documents, TDS statement, TDS deposited and other available records.</t>
  </si>
  <si>
    <t xml:space="preserve">and deposited to the credit of the Central Govt.. I further certify that the information given above is true, complete and correct </t>
  </si>
  <si>
    <t>Full name :</t>
  </si>
  <si>
    <t>(B) Other Sections (e.g. 80E, 80G etc.) under Chapter VIA</t>
  </si>
  <si>
    <t xml:space="preserve">(in words) has beeen deducted and </t>
  </si>
  <si>
    <t>deposited to the  credit of the Central Government. I further certify that the information given above is true, complete and correct and is based on the books of account, documents, TDS statement, TDS deposited and other available records.</t>
  </si>
  <si>
    <t>vU; tekjkf'k ¼/kkjk 80 lh ds vUrxZr½ E;qpy QaM</t>
  </si>
  <si>
    <t>27- vU; tek jkf'k ¼/kkjk 80 lh ds vUrxZr½ o E;qpvy QaM</t>
  </si>
  <si>
    <t>vU; o fQDl fMiksftV ¼5 o"kZ gsrq½</t>
  </si>
  <si>
    <t>US 80TTA [Exempt Saving Bank Int. Max. RS. 10,000/-]</t>
  </si>
  <si>
    <r>
      <rPr>
        <b/>
        <sz val="12"/>
        <rFont val="Kruti Dev 010"/>
      </rPr>
      <t>¼2½</t>
    </r>
    <r>
      <rPr>
        <sz val="12"/>
        <rFont val="Kruti Dev 010"/>
      </rPr>
      <t xml:space="preserve"> NwV ?kkjk 87¼</t>
    </r>
    <r>
      <rPr>
        <sz val="10"/>
        <rFont val="Calibri"/>
        <family val="2"/>
        <scheme val="minor"/>
      </rPr>
      <t>A</t>
    </r>
    <r>
      <rPr>
        <sz val="12"/>
        <rFont val="Kruti Dev 010"/>
      </rPr>
      <t xml:space="preserve">½ ¼ 5yk[k rd dh dj ;ksX; vk; ij vk;dj dh NwV vf/kdre :- </t>
    </r>
    <r>
      <rPr>
        <b/>
        <sz val="12"/>
        <rFont val="Kruti Dev 010"/>
      </rPr>
      <t>12500</t>
    </r>
    <r>
      <rPr>
        <sz val="12"/>
        <rFont val="Kruti Dev 010"/>
      </rPr>
      <t>@&amp; rd½</t>
    </r>
  </si>
  <si>
    <t>ije~ iwT; xq:nso</t>
  </si>
  <si>
    <t>Watch the You Tube Video For More Information.</t>
  </si>
  <si>
    <t>You Tube Channel</t>
  </si>
  <si>
    <t>https://www.youtube.com/c/Heeralaljat/</t>
  </si>
  <si>
    <t>Move Curser Here</t>
  </si>
  <si>
    <t xml:space="preserve">यदि आपको धारा 87A  के बारे में जानकारी चाहिए तो नीचे सेल पर माउस को ले जाइये। </t>
  </si>
  <si>
    <t>https://www.youtube.com/playlist?list=PLmNJTudmvkgL-ZI7qFKfQ6oz6WTNnW31z</t>
  </si>
  <si>
    <t>2021-2022)</t>
  </si>
  <si>
    <t xml:space="preserve">                            यदि आपको आयकर की नयी व विद्यमान कर स्लैब देखनी हो तो क्रसर को सामने की सेल पर ले जाइये।  </t>
  </si>
  <si>
    <t>https://www.youtube.com/watch?v=kSG6hPX7VSQ</t>
  </si>
  <si>
    <t>Move curser</t>
  </si>
  <si>
    <t>https://www.youtube.com/watch?v=NWwIhkhEUoc</t>
  </si>
  <si>
    <t xml:space="preserve">अधिक जानकारी के लिए ऊपर Youtube video का लिंक दिया गया है। </t>
  </si>
  <si>
    <t xml:space="preserve">यदि आपको धारा 80 TTA  के बारे में डिटेल से जानकारी चाहिए तो नीचे सेल पर माउस को ले जाइये। </t>
  </si>
  <si>
    <t>https://www.youtube.com/watch?v=TJ5dWmZplAk</t>
  </si>
  <si>
    <r>
      <rPr>
        <b/>
        <sz val="20"/>
        <color rgb="FFFF0000"/>
        <rFont val="Wingdings"/>
        <charset val="2"/>
      </rPr>
      <t>E</t>
    </r>
    <r>
      <rPr>
        <b/>
        <sz val="12"/>
        <color rgb="FFCC00FF"/>
        <rFont val="Calibri"/>
        <family val="2"/>
        <scheme val="minor"/>
      </rPr>
      <t xml:space="preserve"> अधिक जानकारी के लिए देखें </t>
    </r>
    <r>
      <rPr>
        <b/>
        <sz val="14"/>
        <color rgb="FFCC00FF"/>
        <rFont val="Calibri"/>
        <family val="2"/>
        <scheme val="minor"/>
      </rPr>
      <t xml:space="preserve">Youtube </t>
    </r>
    <r>
      <rPr>
        <b/>
        <sz val="12"/>
        <color rgb="FFCC00FF"/>
        <rFont val="Calibri"/>
        <family val="2"/>
        <scheme val="minor"/>
      </rPr>
      <t>वीडियो</t>
    </r>
  </si>
  <si>
    <t>(xxi)</t>
  </si>
  <si>
    <t>Pension Plan (US80ccc+US 80CCD)(1)+GPF-2004</t>
  </si>
  <si>
    <t>new update on 01-12-2020 
new updated related you tube video link</t>
  </si>
  <si>
    <t>https://youtu.be/FwBqjLiBd28</t>
  </si>
  <si>
    <t>किराये का 30%</t>
  </si>
  <si>
    <t>गृह ऋण पर ब्याज</t>
  </si>
  <si>
    <t>गृहकर</t>
  </si>
  <si>
    <t>Treasury Location :-</t>
  </si>
  <si>
    <t>Basic  Pay</t>
  </si>
  <si>
    <t xml:space="preserve">Dearness Pay
</t>
  </si>
  <si>
    <t xml:space="preserve">DA </t>
  </si>
  <si>
    <t>Interim Relief</t>
  </si>
  <si>
    <t>Other
Paymen</t>
  </si>
  <si>
    <t>Details of Payment</t>
  </si>
  <si>
    <t xml:space="preserve">Details of Deduction
</t>
  </si>
  <si>
    <t>S.I.</t>
  </si>
  <si>
    <t xml:space="preserve">GIS
</t>
  </si>
  <si>
    <t>Recovery</t>
  </si>
  <si>
    <t xml:space="preserve"> Conv. All. For. Phy. Cha/
Conv. All. </t>
  </si>
  <si>
    <t xml:space="preserve"> PP on pay</t>
  </si>
  <si>
    <t xml:space="preserve"> Fixed T.A./
Sumptuary All. </t>
  </si>
  <si>
    <t xml:space="preserve"> Relief Fund </t>
  </si>
  <si>
    <t xml:space="preserve"> GIS  (All India) </t>
  </si>
  <si>
    <t xml:space="preserve"> HRR </t>
  </si>
  <si>
    <t xml:space="preserve"> Court Deduction </t>
  </si>
  <si>
    <t>Other</t>
  </si>
  <si>
    <t xml:space="preserve"> Other AG Deduction </t>
  </si>
  <si>
    <t>Voucher N0.</t>
  </si>
  <si>
    <t xml:space="preserve">Voucher Date </t>
  </si>
  <si>
    <t xml:space="preserve"> Net   Salary </t>
  </si>
  <si>
    <t>E. ID</t>
  </si>
  <si>
    <t>B.E.O.PICHHOR</t>
  </si>
  <si>
    <r>
      <t>Employee Unique Code</t>
    </r>
    <r>
      <rPr>
        <b/>
        <sz val="16"/>
        <rFont val="Kruti Dev 010"/>
      </rPr>
      <t xml:space="preserve"> </t>
    </r>
    <r>
      <rPr>
        <b/>
        <sz val="16"/>
        <rFont val="Calibri"/>
        <family val="2"/>
        <scheme val="minor"/>
      </rPr>
      <t>:-</t>
    </r>
  </si>
  <si>
    <t>Middle Teacher</t>
  </si>
  <si>
    <t>Picchor Sub Treasury</t>
  </si>
  <si>
    <t xml:space="preserve">GHS HARIJAN BASTI PICHHORE </t>
  </si>
  <si>
    <t xml:space="preserve">PRINCIPAL, H.S.S.Girls PICHHORE (3932003025) M.P.
</t>
  </si>
  <si>
    <t>1- edku fdjk;k HkRrk ¼;fn jlhn ds ek/;e ls NwV ysuh gS rks ;gkW fy[ksa½</t>
  </si>
  <si>
    <t>38- jkgr /kkjk 89 ds rgr ¼ vxj NwV ysuh gS rks ;gkW fy[ksA½</t>
  </si>
  <si>
    <t xml:space="preserve"> Gross Salary</t>
  </si>
  <si>
    <t xml:space="preserve"> Total Deduction</t>
  </si>
  <si>
    <t xml:space="preserve">Age Group :- </t>
  </si>
  <si>
    <r>
      <t xml:space="preserve">9- thou chek izhfe;e  </t>
    </r>
    <r>
      <rPr>
        <b/>
        <sz val="14"/>
        <color rgb="FF33CC33"/>
        <rFont val="Calibri"/>
        <family val="2"/>
        <scheme val="minor"/>
      </rPr>
      <t>LIC</t>
    </r>
  </si>
  <si>
    <r>
      <t xml:space="preserve">thou chek </t>
    </r>
    <r>
      <rPr>
        <sz val="10"/>
        <rFont val="Calibri"/>
        <family val="2"/>
        <scheme val="minor"/>
      </rPr>
      <t>(Extra LIC)</t>
    </r>
  </si>
  <si>
    <t xml:space="preserve">Other AG Deducation </t>
  </si>
  <si>
    <r>
      <t xml:space="preserve">;g ,Dly izksxzke esjs ije~ iwT; xq:nso Jh Jh 1008 oklqnso th egkjkt o esjs bZ"V izHkq t;  ctjaxcyh o ikcwth egkjkt dks lefiZr gSaA esjs ekrk &amp; firk o xq:tuksa ds vk'khokZn ls ;g izksxzke </t>
    </r>
    <r>
      <rPr>
        <b/>
        <sz val="16"/>
        <color rgb="FFFF0000"/>
        <rFont val="Kruti Dev 010"/>
      </rPr>
      <t>e/;izns'k jkT;</t>
    </r>
    <r>
      <rPr>
        <b/>
        <sz val="16"/>
        <color theme="1"/>
        <rFont val="Kruti Dev 010"/>
      </rPr>
      <t xml:space="preserve"> ds lHkh foHkkx ds dkfeZdksa dh lsok esa lknj izLrqr gSaA</t>
    </r>
  </si>
  <si>
    <t xml:space="preserve"> Income Tax
FBF </t>
  </si>
  <si>
    <t>Profess. Tax</t>
  </si>
  <si>
    <t>Date of Birth</t>
  </si>
  <si>
    <r>
      <rPr>
        <b/>
        <sz val="16"/>
        <rFont val="Calibri"/>
        <family val="2"/>
        <scheme val="minor"/>
      </rPr>
      <t xml:space="preserve">   Date of Birth </t>
    </r>
    <r>
      <rPr>
        <b/>
        <sz val="16"/>
        <rFont val="Kruti Dev 010"/>
      </rPr>
      <t xml:space="preserve"> %&amp;</t>
    </r>
  </si>
</sst>
</file>

<file path=xl/styles.xml><?xml version="1.0" encoding="utf-8"?>
<styleSheet xmlns="http://schemas.openxmlformats.org/spreadsheetml/2006/main">
  <numFmts count="5">
    <numFmt numFmtId="164" formatCode="[$-409]mmm/yy;@"/>
    <numFmt numFmtId="165" formatCode="dd/mm/yyyy"/>
    <numFmt numFmtId="166" formatCode="0000\ 0000\ 0000\ "/>
    <numFmt numFmtId="167" formatCode="&quot;Rs.&quot;\ #,##0;&quot;Rs.&quot;\ \-#,##0"/>
    <numFmt numFmtId="168" formatCode="_ &quot;Rs.&quot;\ * #,##0.00_ ;_ &quot;Rs.&quot;\ * \-#,##0.00_ ;_ &quot;Rs.&quot;\ * &quot;-&quot;??_ ;_ @_ "/>
  </numFmts>
  <fonts count="18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C0C03E"/>
      <name val="Kruti Dev 010"/>
    </font>
    <font>
      <b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FF00"/>
      <name val="Kruti Dev 010"/>
    </font>
    <font>
      <b/>
      <sz val="13"/>
      <color theme="1"/>
      <name val="Comic Sans MS"/>
      <family val="4"/>
    </font>
    <font>
      <b/>
      <sz val="16"/>
      <color rgb="FFFF0000"/>
      <name val="Kruti Dev 010"/>
    </font>
    <font>
      <sz val="11"/>
      <color theme="5" tint="0.3999755851924192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name val="Kruti Dev 010"/>
    </font>
    <font>
      <sz val="11"/>
      <color theme="3" tint="-0.499984740745262"/>
      <name val="Kruti Dev 010"/>
    </font>
    <font>
      <b/>
      <sz val="14"/>
      <color theme="1"/>
      <name val="Kruti Dev 010"/>
    </font>
    <font>
      <b/>
      <sz val="14"/>
      <name val="Kruti Dev 010"/>
    </font>
    <font>
      <b/>
      <i/>
      <u/>
      <sz val="18"/>
      <color theme="7" tint="-0.499984740745262"/>
      <name val="Calibri"/>
      <family val="2"/>
      <scheme val="minor"/>
    </font>
    <font>
      <b/>
      <i/>
      <u/>
      <sz val="16"/>
      <color theme="7" tint="-0.499984740745262"/>
      <name val="Calibri"/>
      <family val="2"/>
      <scheme val="minor"/>
    </font>
    <font>
      <b/>
      <i/>
      <u/>
      <sz val="16"/>
      <color theme="4" tint="0.79998168889431442"/>
      <name val="Calibri"/>
      <family val="2"/>
      <scheme val="minor"/>
    </font>
    <font>
      <b/>
      <sz val="14"/>
      <color rgb="FFFFFF00"/>
      <name val="Kruti Dev 010"/>
    </font>
    <font>
      <sz val="16"/>
      <color theme="1"/>
      <name val="Kruti Dev 010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6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4"/>
      <color rgb="FF7030A0"/>
      <name val="Kruti Dev 010"/>
    </font>
    <font>
      <b/>
      <sz val="16"/>
      <color rgb="FF400E3C"/>
      <name val="Calibri"/>
      <family val="2"/>
      <scheme val="minor"/>
    </font>
    <font>
      <b/>
      <sz val="13"/>
      <color theme="1"/>
      <name val="Cambria"/>
      <family val="1"/>
      <scheme val="major"/>
    </font>
    <font>
      <b/>
      <i/>
      <sz val="16"/>
      <color theme="0"/>
      <name val="Calibri"/>
      <family val="2"/>
      <scheme val="minor"/>
    </font>
    <font>
      <b/>
      <sz val="18"/>
      <color rgb="FFFFFF00"/>
      <name val="Wingdings"/>
      <charset val="2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Kruti Dev 010"/>
    </font>
    <font>
      <b/>
      <sz val="14"/>
      <color rgb="FFFFC000"/>
      <name val="Kruti Dev 010"/>
    </font>
    <font>
      <b/>
      <sz val="14"/>
      <color rgb="FFFFC000"/>
      <name val="Calibri"/>
      <family val="2"/>
      <scheme val="minor"/>
    </font>
    <font>
      <b/>
      <sz val="14"/>
      <color rgb="FF0000FF"/>
      <name val="Kruti Dev 010"/>
    </font>
    <font>
      <b/>
      <sz val="14"/>
      <color rgb="FF002060"/>
      <name val="Kruti Dev 010"/>
    </font>
    <font>
      <b/>
      <sz val="13"/>
      <name val="Kruti Dev 010"/>
    </font>
    <font>
      <sz val="11"/>
      <color theme="1"/>
      <name val="Kruti Dev 010"/>
    </font>
    <font>
      <sz val="14"/>
      <color theme="1"/>
      <name val="Kruti Dev 010"/>
    </font>
    <font>
      <b/>
      <sz val="16"/>
      <color rgb="FF0000FF"/>
      <name val="Kruti Dev 010"/>
    </font>
    <font>
      <b/>
      <i/>
      <u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Wingdings"/>
      <charset val="2"/>
    </font>
    <font>
      <b/>
      <i/>
      <sz val="12"/>
      <color theme="1"/>
      <name val="Calibri"/>
      <family val="2"/>
      <scheme val="minor"/>
    </font>
    <font>
      <b/>
      <sz val="12"/>
      <color theme="1"/>
      <name val="Kruti Dev 010"/>
    </font>
    <font>
      <sz val="12"/>
      <color theme="1"/>
      <name val="Calibri"/>
      <family val="2"/>
      <scheme val="minor"/>
    </font>
    <font>
      <b/>
      <i/>
      <u/>
      <sz val="14"/>
      <color rgb="FFFF0000"/>
      <name val="Calibri"/>
      <family val="2"/>
      <scheme val="minor"/>
    </font>
    <font>
      <b/>
      <sz val="12"/>
      <color rgb="FF002060"/>
      <name val="Kruti Dev 010"/>
    </font>
    <font>
      <sz val="12"/>
      <name val="Kruti Dev 010"/>
    </font>
    <font>
      <b/>
      <i/>
      <sz val="12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1.5"/>
      <name val="Kruti Dev 010"/>
    </font>
    <font>
      <b/>
      <sz val="10"/>
      <name val="Calibri"/>
      <family val="2"/>
      <scheme val="minor"/>
    </font>
    <font>
      <b/>
      <sz val="24"/>
      <color rgb="FF7030A0"/>
      <name val="Wingdings"/>
      <charset val="2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12"/>
      <name val="DevLys 010"/>
    </font>
    <font>
      <sz val="10"/>
      <name val="Kruti Dev 010"/>
    </font>
    <font>
      <sz val="14"/>
      <name val="Kruti Dev 010"/>
    </font>
    <font>
      <sz val="10"/>
      <name val="DevLys 010"/>
    </font>
    <font>
      <b/>
      <sz val="12"/>
      <name val="Kruti Dev 010"/>
    </font>
    <font>
      <b/>
      <sz val="12"/>
      <name val="DevLys 010"/>
    </font>
    <font>
      <b/>
      <sz val="10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1"/>
      <name val="Kruti Dev 010"/>
    </font>
    <font>
      <i/>
      <sz val="11"/>
      <name val="Calibri"/>
      <family val="2"/>
      <scheme val="minor"/>
    </font>
    <font>
      <sz val="9"/>
      <name val="Times New Roman"/>
      <family val="1"/>
    </font>
    <font>
      <b/>
      <sz val="10"/>
      <name val="Kruti Dev 010"/>
    </font>
    <font>
      <b/>
      <sz val="12"/>
      <name val="Times New Roman"/>
      <family val="1"/>
    </font>
    <font>
      <b/>
      <i/>
      <sz val="11"/>
      <name val="Calibri"/>
      <family val="2"/>
      <scheme val="minor"/>
    </font>
    <font>
      <sz val="13"/>
      <name val="Kruti Dev 010"/>
    </font>
    <font>
      <sz val="13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4"/>
      <name val="Calibri"/>
      <family val="2"/>
      <scheme val="minor"/>
    </font>
    <font>
      <b/>
      <sz val="9"/>
      <name val="Arial"/>
      <family val="2"/>
    </font>
    <font>
      <sz val="12"/>
      <color rgb="FF000000"/>
      <name val="Kruti Dev 010"/>
    </font>
    <font>
      <sz val="10"/>
      <color rgb="FF000000"/>
      <name val="Kruti Dev 010"/>
    </font>
    <font>
      <b/>
      <sz val="13"/>
      <color rgb="FF000000"/>
      <name val="Kruti Dev 010"/>
    </font>
    <font>
      <b/>
      <sz val="12"/>
      <color rgb="FF000000"/>
      <name val="Kruti Dev 010"/>
    </font>
    <font>
      <b/>
      <sz val="10"/>
      <color rgb="FF000000"/>
      <name val="Kruti Dev 010"/>
    </font>
    <font>
      <b/>
      <i/>
      <sz val="10"/>
      <color rgb="FF000000"/>
      <name val="Kruti Dev 010"/>
    </font>
    <font>
      <b/>
      <sz val="12"/>
      <color rgb="FFCC00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b/>
      <sz val="14"/>
      <color rgb="FF400E3C"/>
      <name val="Calibri"/>
      <family val="2"/>
      <scheme val="minor"/>
    </font>
    <font>
      <b/>
      <sz val="12"/>
      <color indexed="8"/>
      <name val="Times New Roman"/>
      <family val="1"/>
    </font>
    <font>
      <b/>
      <sz val="13"/>
      <color rgb="FF002060"/>
      <name val="Cambria"/>
      <family val="1"/>
      <scheme val="major"/>
    </font>
    <font>
      <b/>
      <sz val="11"/>
      <name val="Kruti Dev 010"/>
    </font>
    <font>
      <b/>
      <sz val="13"/>
      <color rgb="FFFFC000"/>
      <name val="Kruti Dev 010"/>
    </font>
    <font>
      <sz val="8"/>
      <name val="Tahoma"/>
      <family val="2"/>
    </font>
    <font>
      <b/>
      <sz val="14"/>
      <color rgb="FF33CC33"/>
      <name val="Calibri"/>
      <family val="2"/>
      <scheme val="minor"/>
    </font>
    <font>
      <b/>
      <sz val="14"/>
      <color theme="8" tint="0.79998168889431442"/>
      <name val="Kruti Dev 010"/>
    </font>
    <font>
      <b/>
      <sz val="14"/>
      <color theme="8" tint="0.79998168889431442"/>
      <name val="Calibri"/>
      <family val="2"/>
      <scheme val="minor"/>
    </font>
    <font>
      <b/>
      <sz val="14"/>
      <color rgb="FF00B0F0"/>
      <name val="Kruti Dev 010"/>
    </font>
    <font>
      <b/>
      <sz val="14"/>
      <color theme="3" tint="0.39997558519241921"/>
      <name val="Kruti Dev 010"/>
    </font>
    <font>
      <b/>
      <sz val="14"/>
      <color rgb="FF400E3C"/>
      <name val="Kruti Dev 010"/>
    </font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color theme="0" tint="-0.34998626667073579"/>
      <name val="Kruti Dev 010"/>
    </font>
    <font>
      <sz val="11"/>
      <color theme="0" tint="-0.34998626667073579"/>
      <name val="Calibri"/>
      <family val="2"/>
      <scheme val="minor"/>
    </font>
    <font>
      <b/>
      <sz val="16"/>
      <color rgb="FF990033"/>
      <name val="Wingdings"/>
      <charset val="2"/>
    </font>
    <font>
      <b/>
      <sz val="12"/>
      <color rgb="FF990033"/>
      <name val="Calibri"/>
      <family val="2"/>
      <scheme val="minor"/>
    </font>
    <font>
      <b/>
      <i/>
      <sz val="12"/>
      <color rgb="FF990033"/>
      <name val="Calibri"/>
      <family val="2"/>
      <scheme val="minor"/>
    </font>
    <font>
      <sz val="12"/>
      <color indexed="8"/>
      <name val="Times New Roman"/>
      <family val="1"/>
    </font>
    <font>
      <b/>
      <i/>
      <u/>
      <sz val="14"/>
      <name val="Times New Roman"/>
      <family val="1"/>
    </font>
    <font>
      <b/>
      <i/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Kruti Dev 010"/>
    </font>
    <font>
      <sz val="9"/>
      <color indexed="81"/>
      <name val="Tahoma"/>
      <family val="2"/>
    </font>
    <font>
      <u/>
      <sz val="11"/>
      <color theme="10"/>
      <name val="Calibri"/>
      <family val="2"/>
    </font>
    <font>
      <b/>
      <u/>
      <sz val="18"/>
      <color theme="10"/>
      <name val="Calibri"/>
      <family val="2"/>
    </font>
    <font>
      <b/>
      <sz val="18"/>
      <color indexed="17"/>
      <name val="Calibri"/>
      <family val="2"/>
    </font>
    <font>
      <b/>
      <sz val="18"/>
      <color rgb="FFC00000"/>
      <name val="Comic Sans MS"/>
      <family val="4"/>
    </font>
    <font>
      <b/>
      <i/>
      <sz val="18"/>
      <color indexed="56"/>
      <name val="Calibri"/>
      <family val="2"/>
    </font>
    <font>
      <b/>
      <i/>
      <sz val="18"/>
      <color indexed="36"/>
      <name val="Calibri"/>
      <family val="2"/>
    </font>
    <font>
      <b/>
      <sz val="18"/>
      <color indexed="10"/>
      <name val="Cambria"/>
      <family val="1"/>
      <scheme val="major"/>
    </font>
    <font>
      <b/>
      <i/>
      <u/>
      <sz val="18"/>
      <color rgb="FFCC00FF"/>
      <name val="Cambria"/>
      <family val="1"/>
      <scheme val="major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Rupee Foradian"/>
      <family val="2"/>
    </font>
    <font>
      <b/>
      <sz val="8"/>
      <color indexed="8"/>
      <name val="Rupee Foradian"/>
      <family val="2"/>
    </font>
    <font>
      <sz val="8"/>
      <color theme="1"/>
      <name val="Calibri"/>
      <family val="2"/>
      <scheme val="minor"/>
    </font>
    <font>
      <sz val="10"/>
      <color indexed="8"/>
      <name val="Rupee Foradian"/>
      <family val="2"/>
    </font>
    <font>
      <b/>
      <sz val="12"/>
      <color indexed="8"/>
      <name val="Cambria"/>
      <family val="1"/>
      <scheme val="major"/>
    </font>
    <font>
      <b/>
      <sz val="10"/>
      <color indexed="8"/>
      <name val="Cambria"/>
      <family val="1"/>
      <scheme val="major"/>
    </font>
    <font>
      <b/>
      <sz val="10"/>
      <color indexed="8"/>
      <name val="Calibri"/>
      <family val="2"/>
      <scheme val="minor"/>
    </font>
    <font>
      <b/>
      <sz val="11"/>
      <color indexed="8"/>
      <name val="Cambria"/>
      <family val="1"/>
      <scheme val="major"/>
    </font>
    <font>
      <vertAlign val="superscript"/>
      <sz val="11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1"/>
      <color theme="1"/>
      <name val="Times New Roman"/>
      <family val="1"/>
    </font>
    <font>
      <b/>
      <i/>
      <u/>
      <sz val="14"/>
      <color indexed="8"/>
      <name val="Times New Roman"/>
      <family val="1"/>
    </font>
    <font>
      <b/>
      <sz val="10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6"/>
      <color rgb="FF990033"/>
      <name val="Kruti Dev 010"/>
    </font>
    <font>
      <b/>
      <i/>
      <u/>
      <sz val="14"/>
      <color rgb="FF0000FF"/>
      <name val="Calibri"/>
      <family val="2"/>
    </font>
    <font>
      <b/>
      <sz val="12"/>
      <color rgb="FF7030A0"/>
      <name val="Calibri"/>
      <family val="2"/>
      <scheme val="minor"/>
    </font>
    <font>
      <b/>
      <i/>
      <sz val="18"/>
      <color theme="1"/>
      <name val="Cambria"/>
      <family val="1"/>
      <scheme val="major"/>
    </font>
    <font>
      <b/>
      <i/>
      <sz val="18"/>
      <color theme="1"/>
      <name val="Times New Roman"/>
      <family val="1"/>
    </font>
    <font>
      <b/>
      <i/>
      <u/>
      <sz val="16"/>
      <color rgb="FF0000FF"/>
      <name val="Calibri"/>
      <family val="2"/>
    </font>
    <font>
      <b/>
      <sz val="12"/>
      <color rgb="FF33CC33"/>
      <name val="Kruti Dev 010"/>
    </font>
    <font>
      <b/>
      <i/>
      <u/>
      <sz val="11"/>
      <color rgb="FF002060"/>
      <name val="Calibri"/>
      <family val="2"/>
      <scheme val="minor"/>
    </font>
    <font>
      <b/>
      <u/>
      <sz val="12"/>
      <color rgb="FF33CC33"/>
      <name val="Calibri"/>
      <family val="2"/>
    </font>
    <font>
      <b/>
      <u/>
      <sz val="14"/>
      <color rgb="FFFFC000"/>
      <name val="Calibri"/>
      <family val="2"/>
    </font>
    <font>
      <b/>
      <sz val="11"/>
      <color theme="7" tint="0.59999389629810485"/>
      <name val="Calibri"/>
      <family val="2"/>
      <scheme val="minor"/>
    </font>
    <font>
      <b/>
      <sz val="14"/>
      <color rgb="FFCC00FF"/>
      <name val="Calibri"/>
      <family val="2"/>
      <scheme val="minor"/>
    </font>
    <font>
      <b/>
      <sz val="20"/>
      <color rgb="FFFF0000"/>
      <name val="Wingdings"/>
      <charset val="2"/>
    </font>
    <font>
      <b/>
      <u/>
      <sz val="16"/>
      <color rgb="FF0000FF"/>
      <name val="Calibri"/>
      <family val="2"/>
      <scheme val="minor"/>
    </font>
    <font>
      <i/>
      <sz val="7.5"/>
      <name val="Times New Roman"/>
      <family val="1"/>
    </font>
    <font>
      <b/>
      <u/>
      <sz val="14"/>
      <color theme="10"/>
      <name val="Calibri"/>
      <family val="2"/>
    </font>
    <font>
      <sz val="9"/>
      <color indexed="8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rgb="FFCC0099"/>
      <name val="Calibri"/>
      <family val="2"/>
      <scheme val="minor"/>
    </font>
  </fonts>
  <fills count="53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patternFill patternType="solid">
        <fgColor theme="3" tint="-0.499984740745262"/>
        <bgColor auto="1"/>
      </patternFill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5" tint="0.40000610370189521"/>
        </stop>
        <stop position="1">
          <color theme="7" tint="-0.25098422193060094"/>
        </stop>
      </gradientFill>
    </fill>
    <fill>
      <gradientFill degree="90">
        <stop position="0">
          <color theme="7" tint="0.40000610370189521"/>
        </stop>
        <stop position="1">
          <color theme="5" tint="-0.25098422193060094"/>
        </stop>
      </gradientFill>
    </fill>
    <fill>
      <gradientFill type="path" left="0.5" right="0.5" top="0.5" bottom="0.5">
        <stop position="0">
          <color theme="0"/>
        </stop>
        <stop position="1">
          <color theme="0"/>
        </stop>
      </gradientFill>
    </fill>
    <fill>
      <gradientFill degree="90">
        <stop position="0">
          <color theme="9" tint="-0.25098422193060094"/>
        </stop>
        <stop position="1">
          <color theme="4"/>
        </stop>
      </gradient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gradientFill type="path" left="0.5" right="0.5" top="0.5" bottom="0.5">
        <stop position="0">
          <color theme="2" tint="-0.49803155613879818"/>
        </stop>
        <stop position="1">
          <color theme="5" tint="-0.25098422193060094"/>
        </stop>
      </gradientFill>
    </fill>
    <fill>
      <gradientFill type="path" left="0.5" right="0.5" top="0.5" bottom="0.5">
        <stop position="0">
          <color theme="6" tint="-0.25098422193060094"/>
        </stop>
        <stop position="1">
          <color theme="7" tint="-0.25098422193060094"/>
        </stop>
      </gradientFill>
    </fill>
    <fill>
      <gradientFill degree="135">
        <stop position="0">
          <color theme="7" tint="-0.25098422193060094"/>
        </stop>
        <stop position="1">
          <color theme="8" tint="-0.25098422193060094"/>
        </stop>
      </gradientFill>
    </fill>
    <fill>
      <gradientFill type="path" left="0.5" right="0.5" top="0.5" bottom="0.5">
        <stop position="0">
          <color theme="7" tint="-0.25098422193060094"/>
        </stop>
        <stop position="1">
          <color theme="8" tint="-0.25098422193060094"/>
        </stop>
      </gradientFill>
    </fill>
    <fill>
      <gradientFill degree="45">
        <stop position="0">
          <color theme="0"/>
        </stop>
        <stop position="1">
          <color theme="0"/>
        </stop>
      </gradientFill>
    </fill>
    <fill>
      <patternFill patternType="solid">
        <fgColor rgb="FF400E3C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5"/>
        </stop>
        <stop position="1">
          <color rgb="FF400E3C"/>
        </stop>
      </gradientFill>
    </fill>
    <fill>
      <gradientFill degree="90">
        <stop position="0">
          <color theme="4" tint="-0.25098422193060094"/>
        </stop>
        <stop position="1">
          <color theme="6" tint="-0.25098422193060094"/>
        </stop>
      </gradientFill>
    </fill>
    <fill>
      <gradientFill degree="90">
        <stop position="0">
          <color theme="5" tint="0.40000610370189521"/>
        </stop>
        <stop position="1">
          <color theme="4"/>
        </stop>
      </gradientFill>
    </fill>
    <fill>
      <gradientFill degree="90">
        <stop position="0">
          <color rgb="FF92D050"/>
        </stop>
        <stop position="1">
          <color theme="4"/>
        </stop>
      </gradientFill>
    </fill>
    <fill>
      <gradientFill>
        <stop position="0">
          <color theme="3" tint="0.40000610370189521"/>
        </stop>
        <stop position="1">
          <color rgb="FF400E3C"/>
        </stop>
      </gradientFill>
    </fill>
    <fill>
      <gradientFill degree="90">
        <stop position="0">
          <color rgb="FF400E3C"/>
        </stop>
        <stop position="1">
          <color theme="6" tint="-0.25098422193060094"/>
        </stop>
      </gradientFill>
    </fill>
    <fill>
      <gradientFill>
        <stop position="0">
          <color rgb="FF400E3C"/>
        </stop>
        <stop position="1">
          <color theme="6" tint="-0.25098422193060094"/>
        </stop>
      </gradient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gradientFill type="path" left="0.5" right="0.5" top="0.5" bottom="0.5">
        <stop position="0">
          <color rgb="FF400E3C"/>
        </stop>
        <stop position="1">
          <color theme="6" tint="-0.25098422193060094"/>
        </stop>
      </gradientFill>
    </fill>
    <fill>
      <gradientFill degree="45">
        <stop position="0">
          <color theme="5" tint="0.59999389629810485"/>
        </stop>
        <stop position="1">
          <color theme="8" tint="0.59999389629810485"/>
        </stop>
      </gradientFill>
    </fill>
    <fill>
      <patternFill patternType="solid">
        <fgColor rgb="FF92D050"/>
        <bgColor indexed="64"/>
      </patternFill>
    </fill>
    <fill>
      <gradientFill degree="90">
        <stop position="0">
          <color theme="5" tint="0.40000610370189521"/>
        </stop>
        <stop position="1">
          <color theme="6" tint="-0.25098422193060094"/>
        </stop>
      </gradientFill>
    </fill>
    <fill>
      <gradientFill degree="90">
        <stop position="0">
          <color theme="4" tint="0.59999389629810485"/>
        </stop>
        <stop position="1">
          <color rgb="FF400E3C"/>
        </stop>
      </gradientFill>
    </fill>
    <fill>
      <gradientFill degree="90">
        <stop position="0">
          <color theme="8" tint="-0.25098422193060094"/>
        </stop>
        <stop position="1">
          <color theme="3" tint="-0.25098422193060094"/>
        </stop>
      </gradientFill>
    </fill>
    <fill>
      <gradientFill degree="90">
        <stop position="0">
          <color theme="6"/>
        </stop>
        <stop position="1">
          <color theme="7" tint="-0.25098422193060094"/>
        </stop>
      </gradientFill>
    </fill>
    <fill>
      <gradientFill degree="90">
        <stop position="0">
          <color theme="4" tint="0.40000610370189521"/>
        </stop>
        <stop position="1">
          <color theme="6" tint="-0.25098422193060094"/>
        </stop>
      </gradientFill>
    </fill>
    <fill>
      <gradientFill degree="90">
        <stop position="0">
          <color theme="9" tint="-0.49803155613879818"/>
        </stop>
        <stop position="1">
          <color theme="7" tint="-0.25098422193060094"/>
        </stop>
      </gradient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485"/>
        <bgColor indexed="64"/>
      </patternFill>
    </fill>
    <fill>
      <gradientFill degree="90">
        <stop position="0">
          <color rgb="FF00FFFF"/>
        </stop>
        <stop position="1">
          <color theme="9" tint="0.40000610370189521"/>
        </stop>
      </gradientFill>
    </fill>
    <fill>
      <gradientFill degree="90">
        <stop position="0">
          <color theme="7" tint="0.40000610370189521"/>
        </stop>
        <stop position="1">
          <color theme="7" tint="0.59999389629810485"/>
        </stop>
      </gradientFill>
    </fill>
    <fill>
      <gradientFill degree="90">
        <stop position="0">
          <color rgb="FFFFC000"/>
        </stop>
        <stop position="1">
          <color theme="5" tint="-0.25098422193060094"/>
        </stop>
      </gradientFill>
    </fill>
    <fill>
      <patternFill patternType="solid">
        <fgColor rgb="FFA45C9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5" tint="-0.249977111117893"/>
        <bgColor indexed="64"/>
      </patternFill>
    </fill>
  </fills>
  <borders count="88">
    <border>
      <left/>
      <right/>
      <top/>
      <bottom/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double">
        <color rgb="FF00B050"/>
      </left>
      <right/>
      <top style="double">
        <color rgb="FF00B050"/>
      </top>
      <bottom style="double">
        <color rgb="FF00B05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7030A0"/>
      </left>
      <right style="double">
        <color rgb="FF7030A0"/>
      </right>
      <top style="double">
        <color rgb="FF7030A0"/>
      </top>
      <bottom style="double">
        <color rgb="FF7030A0"/>
      </bottom>
      <diagonal/>
    </border>
    <border>
      <left style="double">
        <color theme="9" tint="-0.499984740745262"/>
      </left>
      <right style="double">
        <color theme="9" tint="-0.499984740745262"/>
      </right>
      <top style="double">
        <color theme="9" tint="-0.499984740745262"/>
      </top>
      <bottom style="double">
        <color theme="9" tint="-0.499984740745262"/>
      </bottom>
      <diagonal/>
    </border>
    <border>
      <left style="double">
        <color theme="5" tint="-0.249977111117893"/>
      </left>
      <right style="double">
        <color theme="5" tint="-0.249977111117893"/>
      </right>
      <top style="double">
        <color theme="5" tint="-0.249977111117893"/>
      </top>
      <bottom style="double">
        <color theme="5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double">
        <color rgb="FF0000FF"/>
      </left>
      <right style="thin">
        <color rgb="FF0000FF"/>
      </right>
      <top style="double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double">
        <color rgb="FF0000FF"/>
      </top>
      <bottom style="thin">
        <color rgb="FF0000FF"/>
      </bottom>
      <diagonal/>
    </border>
    <border>
      <left style="thin">
        <color rgb="FF0000FF"/>
      </left>
      <right style="double">
        <color rgb="FF0000FF"/>
      </right>
      <top style="double">
        <color rgb="FF0000FF"/>
      </top>
      <bottom style="thin">
        <color rgb="FF0000FF"/>
      </bottom>
      <diagonal/>
    </border>
    <border>
      <left style="double">
        <color rgb="FF0000FF"/>
      </left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 style="double">
        <color rgb="FF0000FF"/>
      </right>
      <top style="thin">
        <color rgb="FF0000FF"/>
      </top>
      <bottom style="thin">
        <color rgb="FF0000FF"/>
      </bottom>
      <diagonal/>
    </border>
    <border>
      <left style="double">
        <color rgb="FF0000FF"/>
      </left>
      <right style="thin">
        <color rgb="FF0000FF"/>
      </right>
      <top/>
      <bottom style="thin">
        <color rgb="FF0000FF"/>
      </bottom>
      <diagonal/>
    </border>
    <border>
      <left style="double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double">
        <color rgb="FF0000FF"/>
      </left>
      <right style="thin">
        <color rgb="FF0000FF"/>
      </right>
      <top style="thin">
        <color rgb="FF0000FF"/>
      </top>
      <bottom style="double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double">
        <color rgb="FF0000FF"/>
      </bottom>
      <diagonal/>
    </border>
    <border>
      <left style="thin">
        <color rgb="FF0000FF"/>
      </left>
      <right style="double">
        <color rgb="FF0000FF"/>
      </right>
      <top style="thin">
        <color rgb="FF0000FF"/>
      </top>
      <bottom style="double">
        <color rgb="FF0000FF"/>
      </bottom>
      <diagonal/>
    </border>
    <border>
      <left/>
      <right/>
      <top/>
      <bottom style="double">
        <color rgb="FF0000FF"/>
      </bottom>
      <diagonal/>
    </border>
    <border>
      <left style="double">
        <color rgb="FF33CC33"/>
      </left>
      <right style="double">
        <color rgb="FF33CC33"/>
      </right>
      <top style="double">
        <color rgb="FF33CC33"/>
      </top>
      <bottom style="double">
        <color rgb="FF33CC33"/>
      </bottom>
      <diagonal/>
    </border>
    <border>
      <left style="thin">
        <color indexed="64"/>
      </left>
      <right style="double">
        <color theme="9" tint="-0.499984740745262"/>
      </right>
      <top style="thin">
        <color indexed="64"/>
      </top>
      <bottom style="thin">
        <color indexed="64"/>
      </bottom>
      <diagonal/>
    </border>
    <border>
      <left style="double">
        <color theme="9" tint="-0.499984740745262"/>
      </left>
      <right style="double">
        <color theme="9" tint="-0.499984740745262"/>
      </right>
      <top style="thin">
        <color indexed="64"/>
      </top>
      <bottom style="thin">
        <color indexed="64"/>
      </bottom>
      <diagonal/>
    </border>
    <border>
      <left style="double">
        <color theme="9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00FF"/>
      </left>
      <right style="double">
        <color rgb="FF0000FF"/>
      </right>
      <top style="double">
        <color rgb="FF0000FF"/>
      </top>
      <bottom style="double">
        <color rgb="FF0000FF"/>
      </bottom>
      <diagonal/>
    </border>
    <border>
      <left/>
      <right style="double">
        <color rgb="FF0000FF"/>
      </right>
      <top style="double">
        <color rgb="FF0000FF"/>
      </top>
      <bottom style="double">
        <color rgb="FF0000FF"/>
      </bottom>
      <diagonal/>
    </border>
    <border>
      <left style="double">
        <color rgb="FF0000FF"/>
      </left>
      <right style="double">
        <color rgb="FF0000FF"/>
      </right>
      <top style="double">
        <color rgb="FF0000FF"/>
      </top>
      <bottom/>
      <diagonal/>
    </border>
    <border>
      <left style="double">
        <color rgb="FF0000FF"/>
      </left>
      <right style="double">
        <color rgb="FF0000FF"/>
      </right>
      <top/>
      <bottom style="double">
        <color rgb="FF0000FF"/>
      </bottom>
      <diagonal/>
    </border>
    <border>
      <left style="double">
        <color rgb="FF0000FF"/>
      </left>
      <right/>
      <top style="double">
        <color rgb="FF0000FF"/>
      </top>
      <bottom style="double">
        <color rgb="FF0000FF"/>
      </bottom>
      <diagonal/>
    </border>
    <border>
      <left/>
      <right style="double">
        <color rgb="FF00B050"/>
      </right>
      <top/>
      <bottom/>
      <diagonal/>
    </border>
    <border>
      <left/>
      <right/>
      <top style="double">
        <color rgb="FF0000FF"/>
      </top>
      <bottom/>
      <diagonal/>
    </border>
    <border>
      <left style="double">
        <color rgb="FFCC0099"/>
      </left>
      <right style="double">
        <color rgb="FFCC0099"/>
      </right>
      <top style="double">
        <color rgb="FFCC0099"/>
      </top>
      <bottom style="double">
        <color rgb="FFCC0099"/>
      </bottom>
      <diagonal/>
    </border>
    <border>
      <left style="double">
        <color rgb="FFCC0099"/>
      </left>
      <right/>
      <top style="double">
        <color rgb="FFCC0099"/>
      </top>
      <bottom/>
      <diagonal/>
    </border>
    <border>
      <left/>
      <right/>
      <top style="double">
        <color rgb="FFCC0099"/>
      </top>
      <bottom/>
      <diagonal/>
    </border>
    <border>
      <left/>
      <right style="double">
        <color rgb="FFCC0099"/>
      </right>
      <top style="double">
        <color rgb="FFCC0099"/>
      </top>
      <bottom/>
      <diagonal/>
    </border>
    <border>
      <left style="double">
        <color rgb="FFCC0099"/>
      </left>
      <right/>
      <top/>
      <bottom style="double">
        <color rgb="FFCC0099"/>
      </bottom>
      <diagonal/>
    </border>
    <border>
      <left/>
      <right/>
      <top/>
      <bottom style="double">
        <color rgb="FFCC0099"/>
      </bottom>
      <diagonal/>
    </border>
    <border>
      <left/>
      <right style="double">
        <color rgb="FFCC0099"/>
      </right>
      <top/>
      <bottom style="double">
        <color rgb="FFCC0099"/>
      </bottom>
      <diagonal/>
    </border>
    <border>
      <left style="double">
        <color rgb="FFCC0099"/>
      </left>
      <right/>
      <top/>
      <bottom/>
      <diagonal/>
    </border>
    <border>
      <left/>
      <right style="double">
        <color rgb="FFCC0099"/>
      </right>
      <top/>
      <bottom/>
      <diagonal/>
    </border>
    <border>
      <left style="double">
        <color theme="9" tint="-0.249977111117893"/>
      </left>
      <right style="double">
        <color theme="9" tint="-0.249977111117893"/>
      </right>
      <top style="double">
        <color theme="9" tint="-0.249977111117893"/>
      </top>
      <bottom style="double">
        <color theme="9" tint="-0.249977111117893"/>
      </bottom>
      <diagonal/>
    </border>
    <border>
      <left style="double">
        <color rgb="FF33CC33"/>
      </left>
      <right style="double">
        <color rgb="FF33CC33"/>
      </right>
      <top style="double">
        <color rgb="FF33CC33"/>
      </top>
      <bottom/>
      <diagonal/>
    </border>
    <border>
      <left style="double">
        <color rgb="FF0000FF"/>
      </left>
      <right/>
      <top style="double">
        <color rgb="FF0000FF"/>
      </top>
      <bottom/>
      <diagonal/>
    </border>
    <border>
      <left/>
      <right style="double">
        <color rgb="FF0000FF"/>
      </right>
      <top style="double">
        <color rgb="FF0000FF"/>
      </top>
      <bottom/>
      <diagonal/>
    </border>
    <border>
      <left style="double">
        <color rgb="FF0000FF"/>
      </left>
      <right/>
      <top/>
      <bottom/>
      <diagonal/>
    </border>
    <border>
      <left/>
      <right style="double">
        <color rgb="FF0000FF"/>
      </right>
      <top/>
      <bottom/>
      <diagonal/>
    </border>
    <border>
      <left style="double">
        <color rgb="FF0000FF"/>
      </left>
      <right/>
      <top/>
      <bottom style="double">
        <color rgb="FF0000FF"/>
      </bottom>
      <diagonal/>
    </border>
    <border>
      <left/>
      <right style="double">
        <color rgb="FF0000FF"/>
      </right>
      <top/>
      <bottom style="double">
        <color rgb="FF0000FF"/>
      </bottom>
      <diagonal/>
    </border>
    <border>
      <left style="double">
        <color rgb="FFCC0099"/>
      </left>
      <right/>
      <top style="double">
        <color rgb="FFCC0099"/>
      </top>
      <bottom style="double">
        <color rgb="FFCC0099"/>
      </bottom>
      <diagonal/>
    </border>
    <border>
      <left/>
      <right/>
      <top style="double">
        <color rgb="FFCC0099"/>
      </top>
      <bottom style="double">
        <color rgb="FFCC0099"/>
      </bottom>
      <diagonal/>
    </border>
    <border>
      <left/>
      <right style="double">
        <color rgb="FFCC0099"/>
      </right>
      <top style="double">
        <color rgb="FFCC0099"/>
      </top>
      <bottom style="double">
        <color rgb="FFCC0099"/>
      </bottom>
      <diagonal/>
    </border>
    <border>
      <left style="double">
        <color rgb="FFCC0099"/>
      </left>
      <right style="double">
        <color rgb="FFCC0099"/>
      </right>
      <top/>
      <bottom style="double">
        <color rgb="FFCC0099"/>
      </bottom>
      <diagonal/>
    </border>
    <border>
      <left style="double">
        <color rgb="FFCC0099"/>
      </left>
      <right style="double">
        <color rgb="FFCC0099"/>
      </right>
      <top style="double">
        <color rgb="FFCC0099"/>
      </top>
      <bottom/>
      <diagonal/>
    </border>
    <border>
      <left/>
      <right/>
      <top style="double">
        <color rgb="FF0000FF"/>
      </top>
      <bottom style="double">
        <color rgb="FF0000FF"/>
      </bottom>
      <diagonal/>
    </border>
    <border>
      <left/>
      <right style="double">
        <color theme="9" tint="-0.499984740745262"/>
      </right>
      <top style="double">
        <color theme="9" tint="-0.499984740745262"/>
      </top>
      <bottom style="double">
        <color theme="9" tint="-0.499984740745262"/>
      </bottom>
      <diagonal/>
    </border>
    <border>
      <left style="medium">
        <color rgb="FFFFFF00"/>
      </left>
      <right/>
      <top style="medium">
        <color rgb="FFFFFF00"/>
      </top>
      <bottom style="medium">
        <color rgb="FFFFFF00"/>
      </bottom>
      <diagonal/>
    </border>
    <border>
      <left/>
      <right/>
      <top style="medium">
        <color rgb="FFFFFF00"/>
      </top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double">
        <color rgb="FF00B050"/>
      </right>
      <top/>
      <bottom style="thin">
        <color auto="1"/>
      </bottom>
      <diagonal/>
    </border>
    <border>
      <left style="thin">
        <color rgb="FF0000FF"/>
      </left>
      <right/>
      <top style="thin">
        <color rgb="FF0000FF"/>
      </top>
      <bottom/>
      <diagonal/>
    </border>
    <border>
      <left/>
      <right/>
      <top style="thin">
        <color rgb="FF0000FF"/>
      </top>
      <bottom/>
      <diagonal/>
    </border>
    <border>
      <left style="thin">
        <color rgb="FF0000FF"/>
      </left>
      <right/>
      <top/>
      <bottom style="thin">
        <color rgb="FF0000FF"/>
      </bottom>
      <diagonal/>
    </border>
    <border>
      <left/>
      <right/>
      <top/>
      <bottom style="thin">
        <color rgb="FF0000FF"/>
      </bottom>
      <diagonal/>
    </border>
  </borders>
  <cellStyleXfs count="8">
    <xf numFmtId="0" fontId="0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protection locked="0"/>
    </xf>
    <xf numFmtId="0" fontId="41" fillId="0" borderId="0">
      <alignment vertical="center"/>
    </xf>
    <xf numFmtId="0" fontId="41" fillId="0" borderId="0">
      <protection locked="0"/>
    </xf>
    <xf numFmtId="0" fontId="41" fillId="0" borderId="0">
      <alignment vertical="center"/>
    </xf>
    <xf numFmtId="0" fontId="127" fillId="0" borderId="0" applyNumberFormat="0" applyFill="0" applyBorder="0" applyAlignment="0" applyProtection="0">
      <alignment vertical="top"/>
      <protection locked="0"/>
    </xf>
  </cellStyleXfs>
  <cellXfs count="672">
    <xf numFmtId="0" fontId="0" fillId="0" borderId="0" xfId="0"/>
    <xf numFmtId="0" fontId="0" fillId="2" borderId="0" xfId="0" applyFill="1" applyProtection="1"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13" fillId="2" borderId="0" xfId="0" applyFont="1" applyFill="1" applyAlignment="1" applyProtection="1">
      <alignment horizontal="center" vertical="center"/>
      <protection hidden="1"/>
    </xf>
    <xf numFmtId="0" fontId="13" fillId="2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Alignment="1" applyProtection="1">
      <alignment vertical="center"/>
      <protection hidden="1"/>
    </xf>
    <xf numFmtId="0" fontId="10" fillId="2" borderId="0" xfId="0" applyFont="1" applyFill="1" applyBorder="1" applyAlignment="1" applyProtection="1">
      <alignment vertical="center"/>
      <protection hidden="1"/>
    </xf>
    <xf numFmtId="0" fontId="3" fillId="9" borderId="1" xfId="0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 applyAlignment="1" applyProtection="1">
      <alignment horizontal="right" vertical="center"/>
      <protection locked="0"/>
    </xf>
    <xf numFmtId="0" fontId="22" fillId="2" borderId="0" xfId="0" applyFont="1" applyFill="1" applyBorder="1" applyAlignment="1" applyProtection="1">
      <alignment vertical="center"/>
      <protection hidden="1"/>
    </xf>
    <xf numFmtId="0" fontId="12" fillId="2" borderId="0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7" fillId="0" borderId="0" xfId="0" applyFont="1" applyAlignment="1" applyProtection="1">
      <alignment horizontal="center" vertical="center"/>
      <protection hidden="1"/>
    </xf>
    <xf numFmtId="17" fontId="0" fillId="0" borderId="0" xfId="0" applyNumberFormat="1" applyFont="1" applyProtection="1">
      <protection hidden="1"/>
    </xf>
    <xf numFmtId="0" fontId="0" fillId="0" borderId="0" xfId="0" applyFill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Border="1" applyProtection="1">
      <protection hidden="1"/>
    </xf>
    <xf numFmtId="0" fontId="23" fillId="2" borderId="0" xfId="0" applyFont="1" applyFill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27" fillId="0" borderId="0" xfId="0" applyFont="1" applyProtection="1">
      <protection hidden="1"/>
    </xf>
    <xf numFmtId="0" fontId="54" fillId="0" borderId="25" xfId="0" applyFont="1" applyBorder="1" applyAlignment="1" applyProtection="1">
      <alignment horizontal="center" vertical="center" wrapText="1"/>
      <protection hidden="1"/>
    </xf>
    <xf numFmtId="0" fontId="54" fillId="0" borderId="8" xfId="0" applyFont="1" applyBorder="1" applyAlignment="1" applyProtection="1">
      <alignment horizontal="center" vertical="center" wrapText="1"/>
      <protection hidden="1"/>
    </xf>
    <xf numFmtId="0" fontId="55" fillId="0" borderId="0" xfId="0" applyFont="1" applyAlignment="1" applyProtection="1">
      <alignment wrapText="1"/>
      <protection hidden="1"/>
    </xf>
    <xf numFmtId="0" fontId="55" fillId="0" borderId="0" xfId="0" applyFont="1" applyAlignment="1" applyProtection="1">
      <alignment horizontal="center" vertical="center" wrapText="1"/>
      <protection hidden="1"/>
    </xf>
    <xf numFmtId="0" fontId="56" fillId="0" borderId="25" xfId="0" applyFont="1" applyBorder="1" applyAlignment="1" applyProtection="1">
      <alignment horizontal="center" vertical="center"/>
      <protection hidden="1"/>
    </xf>
    <xf numFmtId="0" fontId="40" fillId="0" borderId="0" xfId="0" applyFont="1" applyProtection="1">
      <protection hidden="1"/>
    </xf>
    <xf numFmtId="0" fontId="53" fillId="0" borderId="25" xfId="0" applyFont="1" applyBorder="1" applyAlignment="1" applyProtection="1">
      <alignment horizontal="center" vertical="center"/>
      <protection hidden="1"/>
    </xf>
    <xf numFmtId="0" fontId="56" fillId="0" borderId="16" xfId="0" applyFont="1" applyBorder="1" applyAlignment="1" applyProtection="1">
      <alignment horizontal="right" vertical="center"/>
      <protection hidden="1"/>
    </xf>
    <xf numFmtId="1" fontId="56" fillId="0" borderId="16" xfId="0" applyNumberFormat="1" applyFont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vertical="center" wrapText="1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59" fillId="0" borderId="0" xfId="0" applyFont="1" applyBorder="1" applyAlignment="1" applyProtection="1">
      <alignment horizontal="center" vertical="center" wrapText="1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26" fillId="0" borderId="10" xfId="0" applyFont="1" applyBorder="1" applyAlignment="1" applyProtection="1">
      <alignment vertical="center"/>
      <protection hidden="1"/>
    </xf>
    <xf numFmtId="0" fontId="26" fillId="0" borderId="10" xfId="0" applyFont="1" applyBorder="1" applyAlignment="1" applyProtection="1">
      <alignment vertical="center" wrapText="1"/>
      <protection hidden="1"/>
    </xf>
    <xf numFmtId="0" fontId="26" fillId="0" borderId="10" xfId="0" applyFont="1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60" fillId="0" borderId="0" xfId="0" applyFont="1" applyAlignment="1" applyProtection="1">
      <alignment horizontal="center" vertical="center"/>
      <protection hidden="1"/>
    </xf>
    <xf numFmtId="0" fontId="60" fillId="0" borderId="0" xfId="0" applyFont="1" applyBorder="1" applyAlignment="1" applyProtection="1">
      <alignment horizontal="center" vertical="center" wrapText="1"/>
      <protection hidden="1"/>
    </xf>
    <xf numFmtId="0" fontId="46" fillId="0" borderId="0" xfId="3" applyFont="1" applyBorder="1" applyAlignment="1" applyProtection="1">
      <alignment vertical="center"/>
      <protection hidden="1"/>
    </xf>
    <xf numFmtId="0" fontId="69" fillId="0" borderId="0" xfId="0" applyFont="1" applyAlignment="1" applyProtection="1">
      <alignment horizontal="right" vertical="center"/>
      <protection hidden="1"/>
    </xf>
    <xf numFmtId="0" fontId="42" fillId="0" borderId="0" xfId="0" applyFont="1" applyBorder="1" applyAlignment="1" applyProtection="1">
      <alignment vertical="top" wrapText="1"/>
      <protection hidden="1"/>
    </xf>
    <xf numFmtId="0" fontId="0" fillId="0" borderId="0" xfId="0" applyAlignment="1" applyProtection="1">
      <protection hidden="1"/>
    </xf>
    <xf numFmtId="0" fontId="92" fillId="0" borderId="0" xfId="3" applyFont="1" applyBorder="1" applyAlignment="1" applyProtection="1">
      <protection hidden="1"/>
    </xf>
    <xf numFmtId="0" fontId="93" fillId="0" borderId="0" xfId="3" applyFont="1" applyBorder="1" applyAlignment="1" applyProtection="1">
      <protection hidden="1"/>
    </xf>
    <xf numFmtId="0" fontId="94" fillId="0" borderId="0" xfId="3" applyFont="1" applyBorder="1" applyAlignment="1" applyProtection="1">
      <alignment horizontal="center" vertical="center"/>
      <protection hidden="1"/>
    </xf>
    <xf numFmtId="0" fontId="93" fillId="0" borderId="0" xfId="6" applyFont="1" applyAlignment="1" applyProtection="1">
      <protection hidden="1"/>
    </xf>
    <xf numFmtId="0" fontId="73" fillId="0" borderId="0" xfId="6" applyFont="1" applyProtection="1">
      <alignment vertical="center"/>
      <protection hidden="1"/>
    </xf>
    <xf numFmtId="0" fontId="96" fillId="0" borderId="0" xfId="3" applyFont="1" applyBorder="1" applyAlignment="1" applyProtection="1">
      <alignment horizontal="right"/>
      <protection hidden="1"/>
    </xf>
    <xf numFmtId="0" fontId="93" fillId="0" borderId="0" xfId="3" applyFont="1" applyBorder="1" applyAlignment="1" applyProtection="1">
      <alignment horizontal="right"/>
      <protection hidden="1"/>
    </xf>
    <xf numFmtId="0" fontId="92" fillId="0" borderId="0" xfId="3" applyFont="1" applyFill="1" applyBorder="1" applyAlignment="1" applyProtection="1">
      <protection hidden="1"/>
    </xf>
    <xf numFmtId="0" fontId="95" fillId="0" borderId="0" xfId="3" applyFont="1" applyFill="1" applyAlignment="1" applyProtection="1">
      <alignment vertical="top"/>
      <protection hidden="1"/>
    </xf>
    <xf numFmtId="0" fontId="93" fillId="0" borderId="0" xfId="6" applyFont="1" applyFill="1" applyAlignment="1" applyProtection="1">
      <protection hidden="1"/>
    </xf>
    <xf numFmtId="0" fontId="92" fillId="0" borderId="0" xfId="3" applyFont="1" applyFill="1" applyAlignment="1" applyProtection="1">
      <protection hidden="1"/>
    </xf>
    <xf numFmtId="0" fontId="93" fillId="0" borderId="0" xfId="3" applyFont="1" applyFill="1" applyBorder="1" applyAlignment="1" applyProtection="1">
      <protection hidden="1"/>
    </xf>
    <xf numFmtId="0" fontId="97" fillId="0" borderId="0" xfId="3" applyFont="1" applyFill="1" applyBorder="1" applyAlignment="1" applyProtection="1">
      <alignment vertical="center"/>
      <protection hidden="1"/>
    </xf>
    <xf numFmtId="0" fontId="93" fillId="0" borderId="0" xfId="3" applyFont="1" applyFill="1" applyAlignment="1" applyProtection="1">
      <protection hidden="1"/>
    </xf>
    <xf numFmtId="0" fontId="96" fillId="0" borderId="0" xfId="3" applyFont="1" applyFill="1" applyAlignment="1" applyProtection="1">
      <protection hidden="1"/>
    </xf>
    <xf numFmtId="0" fontId="92" fillId="19" borderId="0" xfId="3" applyFont="1" applyFill="1" applyAlignment="1" applyProtection="1">
      <protection hidden="1"/>
    </xf>
    <xf numFmtId="0" fontId="93" fillId="19" borderId="0" xfId="3" applyFont="1" applyFill="1" applyAlignment="1" applyProtection="1">
      <protection hidden="1"/>
    </xf>
    <xf numFmtId="0" fontId="93" fillId="19" borderId="0" xfId="6" applyFont="1" applyFill="1" applyAlignment="1" applyProtection="1">
      <protection hidden="1"/>
    </xf>
    <xf numFmtId="0" fontId="0" fillId="19" borderId="0" xfId="0" applyFill="1" applyAlignment="1" applyProtection="1">
      <protection hidden="1"/>
    </xf>
    <xf numFmtId="0" fontId="0" fillId="19" borderId="0" xfId="0" applyFill="1" applyProtection="1">
      <protection hidden="1"/>
    </xf>
    <xf numFmtId="0" fontId="96" fillId="19" borderId="0" xfId="3" applyFont="1" applyFill="1" applyAlignment="1" applyProtection="1">
      <alignment horizontal="right"/>
      <protection hidden="1"/>
    </xf>
    <xf numFmtId="0" fontId="93" fillId="19" borderId="0" xfId="3" applyFont="1" applyFill="1" applyAlignment="1" applyProtection="1">
      <alignment horizontal="right"/>
      <protection hidden="1"/>
    </xf>
    <xf numFmtId="0" fontId="96" fillId="19" borderId="0" xfId="3" applyFont="1" applyFill="1" applyAlignment="1" applyProtection="1">
      <protection hidden="1"/>
    </xf>
    <xf numFmtId="2" fontId="93" fillId="19" borderId="0" xfId="3" applyNumberFormat="1" applyFont="1" applyFill="1" applyAlignment="1" applyProtection="1">
      <alignment horizontal="right"/>
      <protection hidden="1"/>
    </xf>
    <xf numFmtId="0" fontId="92" fillId="0" borderId="0" xfId="3" applyFont="1" applyAlignment="1" applyProtection="1">
      <protection hidden="1"/>
    </xf>
    <xf numFmtId="0" fontId="93" fillId="0" borderId="0" xfId="3" applyFont="1" applyAlignment="1" applyProtection="1">
      <protection hidden="1"/>
    </xf>
    <xf numFmtId="0" fontId="96" fillId="0" borderId="0" xfId="3" applyFont="1" applyAlignment="1" applyProtection="1">
      <alignment horizontal="right"/>
      <protection hidden="1"/>
    </xf>
    <xf numFmtId="0" fontId="93" fillId="0" borderId="0" xfId="3" applyFont="1" applyAlignment="1" applyProtection="1">
      <alignment horizontal="right"/>
      <protection hidden="1"/>
    </xf>
    <xf numFmtId="0" fontId="48" fillId="0" borderId="0" xfId="0" applyFont="1" applyProtection="1">
      <protection hidden="1"/>
    </xf>
    <xf numFmtId="0" fontId="48" fillId="0" borderId="0" xfId="0" applyFont="1" applyAlignment="1" applyProtection="1">
      <protection hidden="1"/>
    </xf>
    <xf numFmtId="2" fontId="76" fillId="0" borderId="29" xfId="6" applyNumberFormat="1" applyFont="1" applyBorder="1" applyAlignment="1" applyProtection="1">
      <protection hidden="1"/>
    </xf>
    <xf numFmtId="0" fontId="11" fillId="0" borderId="0" xfId="0" applyFont="1" applyBorder="1" applyAlignment="1" applyProtection="1">
      <alignment vertical="top" wrapText="1"/>
      <protection hidden="1"/>
    </xf>
    <xf numFmtId="0" fontId="29" fillId="0" borderId="0" xfId="0" applyFont="1" applyProtection="1">
      <protection hidden="1"/>
    </xf>
    <xf numFmtId="0" fontId="114" fillId="0" borderId="0" xfId="0" applyFont="1" applyAlignment="1" applyProtection="1">
      <protection hidden="1"/>
    </xf>
    <xf numFmtId="0" fontId="115" fillId="0" borderId="0" xfId="0" applyFont="1" applyAlignment="1" applyProtection="1">
      <protection hidden="1"/>
    </xf>
    <xf numFmtId="1" fontId="0" fillId="0" borderId="0" xfId="0" quotePrefix="1" applyNumberFormat="1" applyProtection="1">
      <protection hidden="1"/>
    </xf>
    <xf numFmtId="1" fontId="0" fillId="0" borderId="0" xfId="0" applyNumberFormat="1" applyAlignment="1" applyProtection="1">
      <protection hidden="1"/>
    </xf>
    <xf numFmtId="1" fontId="0" fillId="0" borderId="0" xfId="0" quotePrefix="1" applyNumberFormat="1" applyAlignment="1" applyProtection="1">
      <protection hidden="1"/>
    </xf>
    <xf numFmtId="0" fontId="42" fillId="0" borderId="0" xfId="0" applyFont="1" applyBorder="1" applyAlignment="1" applyProtection="1">
      <alignment vertical="center" wrapText="1"/>
      <protection hidden="1"/>
    </xf>
    <xf numFmtId="0" fontId="25" fillId="2" borderId="0" xfId="0" applyFont="1" applyFill="1" applyAlignment="1" applyProtection="1">
      <alignment horizontal="center" vertical="center"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0" fontId="42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18" fillId="0" borderId="0" xfId="0" applyFont="1" applyBorder="1" applyAlignment="1" applyProtection="1">
      <alignment horizontal="center" vertical="center" wrapText="1"/>
      <protection hidden="1"/>
    </xf>
    <xf numFmtId="0" fontId="8" fillId="4" borderId="0" xfId="0" applyFont="1" applyFill="1" applyAlignment="1" applyProtection="1">
      <protection hidden="1"/>
    </xf>
    <xf numFmtId="164" fontId="0" fillId="0" borderId="0" xfId="0" applyNumberFormat="1" applyProtection="1">
      <protection hidden="1"/>
    </xf>
    <xf numFmtId="0" fontId="0" fillId="2" borderId="0" xfId="0" applyFill="1" applyBorder="1" applyProtection="1">
      <protection hidden="1"/>
    </xf>
    <xf numFmtId="0" fontId="7" fillId="4" borderId="0" xfId="0" applyFont="1" applyFill="1" applyBorder="1" applyAlignment="1" applyProtection="1">
      <alignment horizontal="right" vertical="center"/>
      <protection hidden="1"/>
    </xf>
    <xf numFmtId="49" fontId="7" fillId="4" borderId="0" xfId="0" applyNumberFormat="1" applyFont="1" applyFill="1" applyBorder="1" applyAlignment="1" applyProtection="1">
      <alignment horizontal="left" vertical="center"/>
      <protection hidden="1"/>
    </xf>
    <xf numFmtId="0" fontId="7" fillId="4" borderId="0" xfId="0" applyFont="1" applyFill="1" applyBorder="1" applyAlignment="1" applyProtection="1">
      <alignment horizontal="left" vertical="center"/>
      <protection hidden="1"/>
    </xf>
    <xf numFmtId="166" fontId="7" fillId="4" borderId="0" xfId="0" applyNumberFormat="1" applyFont="1" applyFill="1" applyBorder="1" applyAlignment="1" applyProtection="1">
      <alignment horizontal="left" vertical="center"/>
      <protection hidden="1"/>
    </xf>
    <xf numFmtId="3" fontId="7" fillId="4" borderId="0" xfId="0" applyNumberFormat="1" applyFont="1" applyFill="1" applyBorder="1" applyAlignment="1" applyProtection="1">
      <alignment horizontal="left" vertical="center"/>
      <protection hidden="1"/>
    </xf>
    <xf numFmtId="0" fontId="20" fillId="4" borderId="0" xfId="0" applyFont="1" applyFill="1" applyBorder="1" applyAlignment="1" applyProtection="1">
      <alignment horizontal="right" vertical="center"/>
      <protection hidden="1"/>
    </xf>
    <xf numFmtId="0" fontId="3" fillId="4" borderId="0" xfId="0" applyFont="1" applyFill="1" applyBorder="1" applyAlignment="1" applyProtection="1">
      <alignment horizontal="center" vertical="center"/>
      <protection hidden="1"/>
    </xf>
    <xf numFmtId="0" fontId="21" fillId="4" borderId="0" xfId="0" applyFont="1" applyFill="1" applyBorder="1" applyAlignment="1" applyProtection="1">
      <alignment horizontal="right" vertical="center"/>
      <protection hidden="1"/>
    </xf>
    <xf numFmtId="0" fontId="5" fillId="4" borderId="0" xfId="0" applyFont="1" applyFill="1" applyBorder="1" applyAlignment="1" applyProtection="1">
      <alignment horizontal="center" vertical="center"/>
      <protection hidden="1"/>
    </xf>
    <xf numFmtId="0" fontId="4" fillId="4" borderId="0" xfId="0" applyFont="1" applyFill="1" applyBorder="1" applyAlignment="1" applyProtection="1">
      <alignment horizontal="center" vertical="center"/>
      <protection hidden="1"/>
    </xf>
    <xf numFmtId="0" fontId="7" fillId="4" borderId="0" xfId="0" applyFont="1" applyFill="1" applyBorder="1" applyAlignment="1" applyProtection="1">
      <alignment horizontal="center" vertical="center"/>
      <protection hidden="1"/>
    </xf>
    <xf numFmtId="0" fontId="33" fillId="4" borderId="0" xfId="0" applyFont="1" applyFill="1" applyBorder="1" applyAlignment="1" applyProtection="1">
      <alignment vertical="center"/>
      <protection hidden="1"/>
    </xf>
    <xf numFmtId="0" fontId="3" fillId="4" borderId="0" xfId="0" applyFont="1" applyFill="1" applyBorder="1" applyAlignment="1" applyProtection="1">
      <alignment horizontal="right" vertical="center"/>
      <protection hidden="1"/>
    </xf>
    <xf numFmtId="0" fontId="18" fillId="4" borderId="0" xfId="0" applyFont="1" applyFill="1" applyBorder="1" applyAlignment="1" applyProtection="1">
      <alignment horizontal="right" vertical="center"/>
      <protection hidden="1"/>
    </xf>
    <xf numFmtId="0" fontId="0" fillId="18" borderId="0" xfId="0" applyFill="1" applyProtection="1">
      <protection hidden="1"/>
    </xf>
    <xf numFmtId="0" fontId="0" fillId="29" borderId="0" xfId="0" applyFill="1" applyProtection="1">
      <protection hidden="1"/>
    </xf>
    <xf numFmtId="0" fontId="0" fillId="25" borderId="0" xfId="0" applyFill="1" applyProtection="1">
      <protection hidden="1"/>
    </xf>
    <xf numFmtId="0" fontId="0" fillId="26" borderId="0" xfId="0" applyFill="1" applyAlignment="1" applyProtection="1">
      <protection hidden="1"/>
    </xf>
    <xf numFmtId="0" fontId="7" fillId="19" borderId="8" xfId="0" applyFont="1" applyFill="1" applyBorder="1" applyAlignment="1" applyProtection="1">
      <alignment horizontal="center" vertical="center"/>
      <protection locked="0"/>
    </xf>
    <xf numFmtId="0" fontId="63" fillId="0" borderId="33" xfId="4" applyFont="1" applyBorder="1" applyAlignment="1" applyProtection="1">
      <alignment horizontal="center" vertical="center"/>
      <protection hidden="1"/>
    </xf>
    <xf numFmtId="0" fontId="63" fillId="0" borderId="34" xfId="4" applyFont="1" applyBorder="1" applyAlignment="1" applyProtection="1">
      <alignment horizontal="center" vertical="center"/>
      <protection hidden="1"/>
    </xf>
    <xf numFmtId="0" fontId="65" fillId="0" borderId="34" xfId="4" applyFont="1" applyBorder="1" applyAlignment="1" applyProtection="1">
      <alignment horizontal="right" vertical="center"/>
      <protection hidden="1"/>
    </xf>
    <xf numFmtId="0" fontId="66" fillId="0" borderId="0" xfId="4" applyFont="1" applyFill="1" applyBorder="1" applyAlignment="1" applyProtection="1">
      <alignment horizontal="center" vertical="center"/>
      <protection hidden="1"/>
    </xf>
    <xf numFmtId="1" fontId="63" fillId="0" borderId="29" xfId="4" applyNumberFormat="1" applyFont="1" applyBorder="1" applyAlignment="1" applyProtection="1">
      <alignment horizontal="right" vertical="center"/>
      <protection hidden="1"/>
    </xf>
    <xf numFmtId="1" fontId="5" fillId="0" borderId="37" xfId="4" applyNumberFormat="1" applyFont="1" applyBorder="1" applyAlignment="1" applyProtection="1">
      <alignment horizontal="right" vertical="center"/>
      <protection hidden="1"/>
    </xf>
    <xf numFmtId="2" fontId="5" fillId="0" borderId="0" xfId="4" applyNumberFormat="1" applyFont="1" applyBorder="1" applyAlignment="1" applyProtection="1">
      <alignment horizontal="right" vertical="center"/>
      <protection hidden="1"/>
    </xf>
    <xf numFmtId="0" fontId="63" fillId="0" borderId="39" xfId="4" applyFont="1" applyBorder="1" applyAlignment="1" applyProtection="1">
      <alignment horizontal="center" vertical="center"/>
      <protection hidden="1"/>
    </xf>
    <xf numFmtId="2" fontId="70" fillId="0" borderId="0" xfId="4" applyNumberFormat="1" applyFont="1" applyBorder="1" applyAlignment="1" applyProtection="1">
      <alignment horizontal="right" vertical="center"/>
      <protection hidden="1"/>
    </xf>
    <xf numFmtId="0" fontId="72" fillId="0" borderId="0" xfId="4" applyFont="1" applyBorder="1" applyAlignment="1" applyProtection="1">
      <alignment horizontal="center" vertical="center"/>
      <protection hidden="1"/>
    </xf>
    <xf numFmtId="0" fontId="75" fillId="0" borderId="0" xfId="4" applyFont="1" applyBorder="1" applyAlignment="1" applyProtection="1">
      <alignment horizontal="center" vertical="center"/>
      <protection hidden="1"/>
    </xf>
    <xf numFmtId="0" fontId="64" fillId="0" borderId="29" xfId="4" applyFont="1" applyBorder="1" applyAlignment="1" applyProtection="1">
      <alignment horizontal="center" vertical="center"/>
      <protection hidden="1"/>
    </xf>
    <xf numFmtId="0" fontId="64" fillId="0" borderId="30" xfId="4" applyFont="1" applyBorder="1" applyAlignment="1" applyProtection="1">
      <alignment horizontal="center" vertical="center"/>
      <protection hidden="1"/>
    </xf>
    <xf numFmtId="0" fontId="77" fillId="0" borderId="0" xfId="4" applyFont="1" applyBorder="1" applyAlignment="1" applyProtection="1">
      <alignment horizontal="left" vertical="center"/>
      <protection hidden="1"/>
    </xf>
    <xf numFmtId="0" fontId="79" fillId="0" borderId="0" xfId="4" applyFont="1" applyBorder="1" applyAlignment="1" applyProtection="1">
      <alignment horizontal="left" vertical="center"/>
      <protection hidden="1"/>
    </xf>
    <xf numFmtId="0" fontId="80" fillId="0" borderId="29" xfId="4" applyFont="1" applyBorder="1" applyAlignment="1" applyProtection="1">
      <alignment horizontal="center"/>
      <protection hidden="1"/>
    </xf>
    <xf numFmtId="0" fontId="63" fillId="0" borderId="29" xfId="4" applyFont="1" applyBorder="1" applyAlignment="1" applyProtection="1">
      <alignment horizontal="right"/>
      <protection hidden="1"/>
    </xf>
    <xf numFmtId="1" fontId="82" fillId="0" borderId="29" xfId="4" applyNumberFormat="1" applyFont="1" applyBorder="1" applyAlignment="1" applyProtection="1">
      <alignment horizontal="right"/>
      <protection hidden="1"/>
    </xf>
    <xf numFmtId="0" fontId="83" fillId="0" borderId="29" xfId="4" applyFont="1" applyBorder="1" applyAlignment="1" applyProtection="1">
      <alignment horizontal="center"/>
      <protection hidden="1"/>
    </xf>
    <xf numFmtId="0" fontId="70" fillId="0" borderId="0" xfId="4" applyFont="1" applyBorder="1" applyAlignment="1" applyProtection="1">
      <alignment horizontal="center" vertical="center"/>
      <protection hidden="1"/>
    </xf>
    <xf numFmtId="1" fontId="82" fillId="27" borderId="29" xfId="4" applyNumberFormat="1" applyFont="1" applyFill="1" applyBorder="1" applyAlignment="1" applyProtection="1">
      <alignment horizontal="right"/>
      <protection hidden="1"/>
    </xf>
    <xf numFmtId="1" fontId="86" fillId="0" borderId="29" xfId="4" applyNumberFormat="1" applyFont="1" applyBorder="1" applyAlignment="1" applyProtection="1">
      <alignment horizontal="right"/>
      <protection hidden="1"/>
    </xf>
    <xf numFmtId="0" fontId="63" fillId="0" borderId="29" xfId="4" applyFont="1" applyBorder="1" applyAlignment="1" applyProtection="1">
      <alignment horizontal="right" vertical="center"/>
      <protection hidden="1"/>
    </xf>
    <xf numFmtId="1" fontId="70" fillId="0" borderId="37" xfId="4" applyNumberFormat="1" applyFont="1" applyBorder="1" applyAlignment="1" applyProtection="1">
      <alignment horizontal="right" vertical="center"/>
      <protection hidden="1"/>
    </xf>
    <xf numFmtId="1" fontId="64" fillId="0" borderId="37" xfId="4" applyNumberFormat="1" applyFont="1" applyBorder="1" applyAlignment="1" applyProtection="1">
      <alignment horizontal="right" vertical="center"/>
      <protection hidden="1"/>
    </xf>
    <xf numFmtId="2" fontId="89" fillId="0" borderId="0" xfId="4" applyNumberFormat="1" applyFont="1" applyBorder="1" applyAlignment="1" applyProtection="1">
      <alignment horizontal="right" vertical="center"/>
      <protection hidden="1"/>
    </xf>
    <xf numFmtId="0" fontId="72" fillId="0" borderId="0" xfId="4" applyFont="1" applyBorder="1" applyAlignment="1" applyProtection="1">
      <alignment horizontal="left" vertical="center"/>
      <protection hidden="1"/>
    </xf>
    <xf numFmtId="0" fontId="84" fillId="0" borderId="29" xfId="4" applyFont="1" applyBorder="1" applyAlignment="1" applyProtection="1">
      <alignment horizontal="right" vertical="center"/>
      <protection hidden="1"/>
    </xf>
    <xf numFmtId="0" fontId="77" fillId="0" borderId="37" xfId="4" applyFont="1" applyBorder="1" applyAlignment="1" applyProtection="1">
      <alignment vertical="center"/>
      <protection hidden="1"/>
    </xf>
    <xf numFmtId="0" fontId="77" fillId="0" borderId="0" xfId="4" applyFont="1" applyBorder="1" applyAlignment="1" applyProtection="1">
      <alignment vertical="center"/>
      <protection hidden="1"/>
    </xf>
    <xf numFmtId="9" fontId="65" fillId="0" borderId="29" xfId="4" applyNumberFormat="1" applyFont="1" applyBorder="1" applyAlignment="1" applyProtection="1">
      <alignment horizontal="center" vertical="center"/>
      <protection hidden="1"/>
    </xf>
    <xf numFmtId="1" fontId="89" fillId="0" borderId="37" xfId="4" applyNumberFormat="1" applyFont="1" applyBorder="1" applyAlignment="1" applyProtection="1">
      <alignment vertical="center"/>
      <protection hidden="1"/>
    </xf>
    <xf numFmtId="2" fontId="70" fillId="0" borderId="0" xfId="4" applyNumberFormat="1" applyFont="1" applyBorder="1" applyAlignment="1" applyProtection="1">
      <alignment vertical="center"/>
      <protection hidden="1"/>
    </xf>
    <xf numFmtId="0" fontId="65" fillId="0" borderId="29" xfId="4" applyFont="1" applyBorder="1" applyAlignment="1" applyProtection="1">
      <alignment horizontal="center" vertical="center"/>
      <protection hidden="1"/>
    </xf>
    <xf numFmtId="0" fontId="104" fillId="0" borderId="37" xfId="4" applyFont="1" applyBorder="1" applyAlignment="1" applyProtection="1">
      <alignment horizontal="center" vertical="center" wrapText="1"/>
      <protection hidden="1"/>
    </xf>
    <xf numFmtId="0" fontId="77" fillId="0" borderId="0" xfId="4" applyFont="1" applyBorder="1" applyAlignment="1" applyProtection="1">
      <alignment horizontal="center" vertical="center" wrapText="1"/>
      <protection hidden="1"/>
    </xf>
    <xf numFmtId="1" fontId="64" fillId="0" borderId="29" xfId="4" applyNumberFormat="1" applyFont="1" applyBorder="1" applyAlignment="1" applyProtection="1">
      <alignment horizontal="center"/>
      <protection hidden="1"/>
    </xf>
    <xf numFmtId="1" fontId="64" fillId="0" borderId="37" xfId="4" applyNumberFormat="1" applyFont="1" applyBorder="1" applyAlignment="1" applyProtection="1">
      <alignment vertical="center" wrapText="1"/>
      <protection hidden="1"/>
    </xf>
    <xf numFmtId="2" fontId="70" fillId="0" borderId="0" xfId="4" applyNumberFormat="1" applyFont="1" applyBorder="1" applyAlignment="1" applyProtection="1">
      <alignment horizontal="right" vertical="center" wrapText="1"/>
      <protection hidden="1"/>
    </xf>
    <xf numFmtId="0" fontId="63" fillId="0" borderId="41" xfId="4" applyFont="1" applyBorder="1" applyAlignment="1" applyProtection="1">
      <alignment horizontal="right" vertical="center"/>
      <protection hidden="1"/>
    </xf>
    <xf numFmtId="1" fontId="90" fillId="0" borderId="42" xfId="4" applyNumberFormat="1" applyFont="1" applyBorder="1" applyAlignment="1" applyProtection="1">
      <alignment horizontal="right" vertical="center"/>
      <protection hidden="1"/>
    </xf>
    <xf numFmtId="0" fontId="91" fillId="0" borderId="0" xfId="4" applyFont="1" applyBorder="1" applyAlignment="1" applyProtection="1">
      <alignment horizontal="right" vertical="center"/>
      <protection hidden="1"/>
    </xf>
    <xf numFmtId="0" fontId="63" fillId="0" borderId="0" xfId="4" applyFont="1" applyBorder="1" applyAlignment="1" applyProtection="1">
      <alignment horizontal="right" vertical="center"/>
      <protection hidden="1"/>
    </xf>
    <xf numFmtId="0" fontId="117" fillId="0" borderId="0" xfId="0" applyFont="1" applyProtection="1">
      <protection locked="0"/>
    </xf>
    <xf numFmtId="0" fontId="0" fillId="0" borderId="0" xfId="0" applyProtection="1">
      <protection locked="0"/>
    </xf>
    <xf numFmtId="0" fontId="29" fillId="0" borderId="0" xfId="0" applyFont="1" applyProtection="1">
      <protection locked="0"/>
    </xf>
    <xf numFmtId="0" fontId="42" fillId="0" borderId="0" xfId="0" applyFont="1" applyBorder="1" applyAlignment="1" applyProtection="1">
      <alignment vertical="center" wrapText="1"/>
      <protection locked="0"/>
    </xf>
    <xf numFmtId="0" fontId="116" fillId="0" borderId="0" xfId="0" applyFont="1" applyBorder="1" applyAlignment="1" applyProtection="1">
      <alignment vertical="center" wrapText="1"/>
      <protection locked="0"/>
    </xf>
    <xf numFmtId="0" fontId="134" fillId="0" borderId="0" xfId="0" applyFont="1" applyAlignment="1" applyProtection="1">
      <alignment horizontal="center" vertical="center"/>
      <protection hidden="1"/>
    </xf>
    <xf numFmtId="0" fontId="122" fillId="40" borderId="49" xfId="0" applyFont="1" applyFill="1" applyBorder="1" applyAlignment="1" applyProtection="1">
      <alignment horizontal="center" vertical="center"/>
      <protection hidden="1"/>
    </xf>
    <xf numFmtId="0" fontId="4" fillId="41" borderId="49" xfId="0" applyFont="1" applyFill="1" applyBorder="1" applyAlignment="1" applyProtection="1">
      <alignment horizontal="center" vertical="center"/>
      <protection hidden="1"/>
    </xf>
    <xf numFmtId="0" fontId="74" fillId="41" borderId="49" xfId="0" applyFont="1" applyFill="1" applyBorder="1" applyAlignment="1" applyProtection="1">
      <alignment horizontal="justify" vertical="justify" wrapText="1"/>
      <protection hidden="1"/>
    </xf>
    <xf numFmtId="0" fontId="20" fillId="44" borderId="51" xfId="0" applyFont="1" applyFill="1" applyBorder="1" applyAlignment="1" applyProtection="1">
      <alignment horizontal="center" vertical="top"/>
      <protection hidden="1"/>
    </xf>
    <xf numFmtId="0" fontId="74" fillId="42" borderId="49" xfId="0" applyFont="1" applyFill="1" applyBorder="1" applyAlignment="1" applyProtection="1">
      <alignment horizontal="justify" vertical="justify" wrapText="1"/>
      <protection hidden="1"/>
    </xf>
    <xf numFmtId="0" fontId="28" fillId="46" borderId="0" xfId="0" applyFont="1" applyFill="1" applyAlignment="1" applyProtection="1">
      <alignment horizontal="center" vertical="center"/>
      <protection hidden="1"/>
    </xf>
    <xf numFmtId="0" fontId="140" fillId="0" borderId="0" xfId="0" applyFont="1" applyBorder="1" applyAlignment="1" applyProtection="1">
      <alignment horizontal="center" vertical="center" wrapText="1"/>
      <protection hidden="1"/>
    </xf>
    <xf numFmtId="0" fontId="135" fillId="47" borderId="55" xfId="0" applyFont="1" applyFill="1" applyBorder="1" applyAlignment="1" applyProtection="1">
      <alignment horizontal="center" vertical="center" wrapText="1"/>
      <protection locked="0"/>
    </xf>
    <xf numFmtId="49" fontId="139" fillId="0" borderId="44" xfId="0" applyNumberFormat="1" applyFont="1" applyBorder="1" applyAlignment="1" applyProtection="1">
      <alignment horizontal="center" vertical="center" wrapText="1"/>
      <protection locked="0"/>
    </xf>
    <xf numFmtId="167" fontId="136" fillId="50" borderId="55" xfId="0" applyNumberFormat="1" applyFont="1" applyFill="1" applyBorder="1" applyAlignment="1" applyProtection="1">
      <alignment horizontal="center" vertical="center" wrapText="1"/>
      <protection locked="0"/>
    </xf>
    <xf numFmtId="0" fontId="135" fillId="0" borderId="55" xfId="0" applyFont="1" applyFill="1" applyBorder="1" applyAlignment="1" applyProtection="1">
      <alignment horizontal="center" vertical="center" wrapText="1"/>
      <protection hidden="1"/>
    </xf>
    <xf numFmtId="0" fontId="136" fillId="0" borderId="55" xfId="0" applyFont="1" applyFill="1" applyBorder="1" applyAlignment="1" applyProtection="1">
      <alignment horizontal="center" vertical="center" wrapText="1"/>
      <protection hidden="1"/>
    </xf>
    <xf numFmtId="0" fontId="0" fillId="0" borderId="55" xfId="0" applyBorder="1" applyAlignment="1" applyProtection="1">
      <alignment horizontal="center" vertical="center"/>
      <protection hidden="1"/>
    </xf>
    <xf numFmtId="0" fontId="60" fillId="0" borderId="55" xfId="0" applyFont="1" applyBorder="1" applyAlignment="1" applyProtection="1">
      <alignment horizontal="center" vertical="center"/>
      <protection hidden="1"/>
    </xf>
    <xf numFmtId="167" fontId="135" fillId="0" borderId="55" xfId="0" applyNumberFormat="1" applyFont="1" applyBorder="1" applyAlignment="1" applyProtection="1">
      <alignment horizontal="center" vertical="center" wrapText="1"/>
      <protection hidden="1"/>
    </xf>
    <xf numFmtId="0" fontId="135" fillId="49" borderId="44" xfId="0" applyFont="1" applyFill="1" applyBorder="1" applyAlignment="1" applyProtection="1">
      <alignment horizontal="center" vertical="center" wrapText="1"/>
      <protection hidden="1"/>
    </xf>
    <xf numFmtId="0" fontId="139" fillId="0" borderId="44" xfId="0" applyFont="1" applyBorder="1" applyAlignment="1" applyProtection="1">
      <alignment horizontal="center" vertical="center" wrapText="1"/>
      <protection hidden="1"/>
    </xf>
    <xf numFmtId="49" fontId="139" fillId="0" borderId="44" xfId="0" applyNumberFormat="1" applyFont="1" applyBorder="1" applyAlignment="1" applyProtection="1">
      <alignment horizontal="center" vertical="center" wrapText="1"/>
      <protection hidden="1"/>
    </xf>
    <xf numFmtId="0" fontId="137" fillId="0" borderId="44" xfId="0" applyFont="1" applyBorder="1" applyAlignment="1" applyProtection="1">
      <alignment vertical="center" wrapText="1"/>
      <protection hidden="1"/>
    </xf>
    <xf numFmtId="0" fontId="139" fillId="0" borderId="64" xfId="0" applyFont="1" applyBorder="1" applyAlignment="1" applyProtection="1">
      <alignment horizontal="center" vertical="center" wrapText="1"/>
      <protection hidden="1"/>
    </xf>
    <xf numFmtId="0" fontId="137" fillId="0" borderId="64" xfId="0" applyFont="1" applyBorder="1" applyAlignment="1" applyProtection="1">
      <alignment horizontal="center" vertical="center" wrapText="1"/>
      <protection hidden="1"/>
    </xf>
    <xf numFmtId="0" fontId="100" fillId="0" borderId="0" xfId="0" applyFont="1" applyBorder="1" applyAlignment="1" applyProtection="1">
      <alignment horizontal="center" vertical="center" wrapText="1"/>
      <protection hidden="1"/>
    </xf>
    <xf numFmtId="0" fontId="152" fillId="0" borderId="0" xfId="0" applyFont="1" applyBorder="1" applyAlignment="1" applyProtection="1">
      <alignment horizontal="center" vertical="center" wrapText="1"/>
      <protection hidden="1"/>
    </xf>
    <xf numFmtId="0" fontId="145" fillId="0" borderId="0" xfId="0" applyFont="1" applyBorder="1" applyAlignment="1" applyProtection="1">
      <alignment horizontal="right" vertical="center" wrapText="1"/>
      <protection hidden="1"/>
    </xf>
    <xf numFmtId="2" fontId="140" fillId="0" borderId="0" xfId="0" applyNumberFormat="1" applyFont="1" applyBorder="1" applyAlignment="1" applyProtection="1">
      <alignment horizontal="center" vertical="center" wrapText="1"/>
      <protection hidden="1"/>
    </xf>
    <xf numFmtId="0" fontId="135" fillId="0" borderId="0" xfId="0" applyFont="1" applyBorder="1" applyAlignment="1" applyProtection="1">
      <alignment horizontal="right" vertical="center" wrapText="1"/>
      <protection hidden="1"/>
    </xf>
    <xf numFmtId="168" fontId="139" fillId="0" borderId="48" xfId="0" applyNumberFormat="1" applyFont="1" applyBorder="1" applyAlignment="1" applyProtection="1">
      <alignment horizontal="right" vertical="center" wrapText="1"/>
      <protection hidden="1"/>
    </xf>
    <xf numFmtId="0" fontId="139" fillId="0" borderId="48" xfId="0" applyFont="1" applyBorder="1" applyAlignment="1" applyProtection="1">
      <alignment horizontal="right" vertical="center" wrapText="1"/>
      <protection hidden="1"/>
    </xf>
    <xf numFmtId="0" fontId="139" fillId="0" borderId="48" xfId="0" applyFont="1" applyBorder="1" applyAlignment="1" applyProtection="1">
      <alignment horizontal="center" vertical="center" wrapText="1"/>
      <protection hidden="1"/>
    </xf>
    <xf numFmtId="2" fontId="139" fillId="0" borderId="48" xfId="0" applyNumberFormat="1" applyFont="1" applyBorder="1" applyAlignment="1" applyProtection="1">
      <alignment horizontal="center" vertical="center" wrapText="1"/>
      <protection hidden="1"/>
    </xf>
    <xf numFmtId="0" fontId="140" fillId="0" borderId="48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55" xfId="0" applyBorder="1" applyAlignment="1" applyProtection="1">
      <alignment horizontal="center"/>
      <protection hidden="1"/>
    </xf>
    <xf numFmtId="168" fontId="141" fillId="11" borderId="73" xfId="0" applyNumberFormat="1" applyFont="1" applyFill="1" applyBorder="1" applyAlignment="1" applyProtection="1">
      <alignment vertical="center" wrapText="1"/>
      <protection hidden="1"/>
    </xf>
    <xf numFmtId="168" fontId="141" fillId="11" borderId="74" xfId="0" applyNumberFormat="1" applyFont="1" applyFill="1" applyBorder="1" applyAlignment="1" applyProtection="1">
      <alignment vertical="center" wrapText="1"/>
      <protection hidden="1"/>
    </xf>
    <xf numFmtId="0" fontId="152" fillId="0" borderId="0" xfId="0" applyFont="1" applyBorder="1" applyAlignment="1" applyProtection="1">
      <alignment horizontal="center" wrapText="1"/>
      <protection hidden="1"/>
    </xf>
    <xf numFmtId="1" fontId="141" fillId="0" borderId="0" xfId="0" applyNumberFormat="1" applyFont="1" applyBorder="1" applyAlignment="1" applyProtection="1">
      <alignment horizontal="center" vertical="center" wrapText="1"/>
      <protection hidden="1"/>
    </xf>
    <xf numFmtId="168" fontId="139" fillId="0" borderId="48" xfId="0" applyNumberFormat="1" applyFont="1" applyBorder="1" applyAlignment="1" applyProtection="1">
      <alignment horizontal="right" vertical="center" wrapText="1"/>
      <protection locked="0"/>
    </xf>
    <xf numFmtId="165" fontId="144" fillId="0" borderId="24" xfId="0" applyNumberFormat="1" applyFont="1" applyBorder="1" applyAlignment="1" applyProtection="1">
      <alignment horizontal="center" vertical="center"/>
      <protection hidden="1"/>
    </xf>
    <xf numFmtId="0" fontId="127" fillId="0" borderId="0" xfId="7" applyAlignment="1" applyProtection="1">
      <protection hidden="1"/>
    </xf>
    <xf numFmtId="0" fontId="162" fillId="0" borderId="68" xfId="0" applyFont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 wrapText="1"/>
      <protection hidden="1"/>
    </xf>
    <xf numFmtId="2" fontId="70" fillId="51" borderId="58" xfId="4" applyNumberFormat="1" applyFont="1" applyFill="1" applyBorder="1" applyAlignment="1" applyProtection="1">
      <alignment vertical="center"/>
      <protection hidden="1"/>
    </xf>
    <xf numFmtId="2" fontId="70" fillId="51" borderId="61" xfId="4" applyNumberFormat="1" applyFont="1" applyFill="1" applyBorder="1" applyAlignment="1" applyProtection="1">
      <alignment vertical="center"/>
      <protection hidden="1"/>
    </xf>
    <xf numFmtId="0" fontId="166" fillId="12" borderId="0" xfId="0" applyFont="1" applyFill="1" applyAlignment="1" applyProtection="1">
      <alignment horizontal="center" vertical="center"/>
      <protection hidden="1"/>
    </xf>
    <xf numFmtId="0" fontId="167" fillId="5" borderId="0" xfId="7" applyFont="1" applyFill="1" applyAlignment="1" applyProtection="1">
      <alignment horizontal="center" vertical="center" wrapText="1"/>
      <protection hidden="1"/>
    </xf>
    <xf numFmtId="0" fontId="163" fillId="31" borderId="0" xfId="7" applyFont="1" applyFill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left" vertical="center"/>
      <protection hidden="1"/>
    </xf>
    <xf numFmtId="0" fontId="113" fillId="0" borderId="0" xfId="0" applyFont="1" applyProtection="1">
      <protection hidden="1"/>
    </xf>
    <xf numFmtId="0" fontId="113" fillId="0" borderId="0" xfId="0" applyFont="1" applyProtection="1">
      <protection locked="0"/>
    </xf>
    <xf numFmtId="1" fontId="113" fillId="0" borderId="0" xfId="0" applyNumberFormat="1" applyFont="1" applyProtection="1">
      <protection hidden="1"/>
    </xf>
    <xf numFmtId="0" fontId="1" fillId="51" borderId="0" xfId="0" applyFont="1" applyFill="1" applyAlignment="1" applyProtection="1">
      <alignment horizontal="center" wrapText="1"/>
      <protection hidden="1"/>
    </xf>
    <xf numFmtId="0" fontId="177" fillId="0" borderId="0" xfId="7" applyFont="1" applyAlignment="1" applyProtection="1">
      <alignment vertical="center"/>
      <protection hidden="1"/>
    </xf>
    <xf numFmtId="0" fontId="177" fillId="0" borderId="0" xfId="7" applyFont="1" applyAlignment="1" applyProtection="1">
      <alignment horizontal="center" vertical="center"/>
      <protection hidden="1"/>
    </xf>
    <xf numFmtId="0" fontId="178" fillId="0" borderId="48" xfId="0" applyFont="1" applyBorder="1" applyAlignment="1" applyProtection="1">
      <alignment horizontal="center" vertical="center" wrapText="1"/>
      <protection hidden="1"/>
    </xf>
    <xf numFmtId="1" fontId="120" fillId="0" borderId="37" xfId="4" applyNumberFormat="1" applyFont="1" applyBorder="1" applyAlignment="1" applyProtection="1">
      <alignment horizontal="right" vertical="center"/>
      <protection locked="0"/>
    </xf>
    <xf numFmtId="1" fontId="82" fillId="0" borderId="29" xfId="4" applyNumberFormat="1" applyFont="1" applyBorder="1" applyAlignment="1" applyProtection="1">
      <alignment horizontal="right"/>
      <protection locked="0"/>
    </xf>
    <xf numFmtId="0" fontId="27" fillId="0" borderId="0" xfId="0" applyFont="1" applyAlignment="1" applyProtection="1">
      <protection hidden="1"/>
    </xf>
    <xf numFmtId="0" fontId="7" fillId="9" borderId="2" xfId="0" applyFont="1" applyFill="1" applyBorder="1" applyAlignment="1" applyProtection="1">
      <alignment horizontal="center" vertical="center"/>
      <protection locked="0"/>
    </xf>
    <xf numFmtId="0" fontId="32" fillId="4" borderId="0" xfId="0" applyFont="1" applyFill="1" applyBorder="1" applyAlignment="1" applyProtection="1">
      <alignment horizontal="center" vertical="center" wrapText="1"/>
      <protection hidden="1"/>
    </xf>
    <xf numFmtId="0" fontId="19" fillId="2" borderId="0" xfId="0" applyFont="1" applyFill="1" applyBorder="1" applyProtection="1">
      <protection hidden="1"/>
    </xf>
    <xf numFmtId="0" fontId="6" fillId="2" borderId="0" xfId="0" applyFont="1" applyFill="1" applyBorder="1" applyProtection="1">
      <protection hidden="1"/>
    </xf>
    <xf numFmtId="0" fontId="37" fillId="4" borderId="0" xfId="0" applyFont="1" applyFill="1" applyBorder="1" applyAlignment="1" applyProtection="1">
      <alignment vertical="center"/>
      <protection hidden="1"/>
    </xf>
    <xf numFmtId="0" fontId="3" fillId="4" borderId="0" xfId="0" applyFont="1" applyFill="1" applyBorder="1" applyAlignment="1" applyProtection="1">
      <alignment vertical="center"/>
      <protection locked="0"/>
    </xf>
    <xf numFmtId="0" fontId="54" fillId="0" borderId="8" xfId="0" applyFont="1" applyBorder="1" applyAlignment="1" applyProtection="1">
      <alignment horizontal="center" vertical="center" textRotation="90" wrapText="1"/>
      <protection hidden="1"/>
    </xf>
    <xf numFmtId="1" fontId="180" fillId="0" borderId="8" xfId="0" applyNumberFormat="1" applyFont="1" applyBorder="1" applyAlignment="1" applyProtection="1">
      <alignment horizontal="center" vertical="center"/>
      <protection hidden="1"/>
    </xf>
    <xf numFmtId="0" fontId="7" fillId="0" borderId="8" xfId="0" applyFont="1" applyFill="1" applyBorder="1" applyAlignment="1" applyProtection="1">
      <alignment horizontal="center" vertical="center"/>
      <protection locked="0"/>
    </xf>
    <xf numFmtId="164" fontId="54" fillId="0" borderId="8" xfId="0" applyNumberFormat="1" applyFont="1" applyBorder="1" applyAlignment="1" applyProtection="1">
      <alignment horizontal="center" vertical="center" wrapText="1"/>
      <protection locked="0"/>
    </xf>
    <xf numFmtId="1" fontId="181" fillId="5" borderId="8" xfId="0" applyNumberFormat="1" applyFont="1" applyFill="1" applyBorder="1" applyAlignment="1" applyProtection="1">
      <alignment horizontal="center" vertical="center" wrapText="1"/>
      <protection locked="0"/>
    </xf>
    <xf numFmtId="1" fontId="68" fillId="0" borderId="8" xfId="0" applyNumberFormat="1" applyFont="1" applyFill="1" applyBorder="1" applyAlignment="1" applyProtection="1">
      <alignment horizontal="center" vertical="center" wrapText="1"/>
      <protection locked="0"/>
    </xf>
    <xf numFmtId="1" fontId="54" fillId="0" borderId="8" xfId="0" applyNumberFormat="1" applyFont="1" applyFill="1" applyBorder="1" applyAlignment="1" applyProtection="1">
      <alignment horizontal="center" vertical="center" wrapText="1"/>
      <protection locked="0"/>
    </xf>
    <xf numFmtId="1" fontId="179" fillId="0" borderId="8" xfId="0" applyNumberFormat="1" applyFont="1" applyFill="1" applyBorder="1" applyAlignment="1" applyProtection="1">
      <alignment horizontal="center" vertical="center" wrapText="1"/>
      <protection locked="0"/>
    </xf>
    <xf numFmtId="1" fontId="160" fillId="0" borderId="8" xfId="0" applyNumberFormat="1" applyFont="1" applyBorder="1" applyAlignment="1" applyProtection="1">
      <alignment horizontal="center" vertical="center" wrapText="1"/>
      <protection locked="0"/>
    </xf>
    <xf numFmtId="1" fontId="55" fillId="0" borderId="8" xfId="0" applyNumberFormat="1" applyFont="1" applyBorder="1" applyAlignment="1" applyProtection="1">
      <alignment horizontal="center" vertical="center" wrapText="1"/>
      <protection locked="0"/>
    </xf>
    <xf numFmtId="165" fontId="144" fillId="0" borderId="24" xfId="0" applyNumberFormat="1" applyFont="1" applyBorder="1" applyAlignment="1" applyProtection="1">
      <alignment horizontal="center" vertical="center" wrapText="1"/>
      <protection locked="0"/>
    </xf>
    <xf numFmtId="0" fontId="54" fillId="0" borderId="8" xfId="0" applyFont="1" applyBorder="1" applyAlignment="1" applyProtection="1">
      <alignment horizontal="center" vertical="center" wrapText="1"/>
      <protection locked="0"/>
    </xf>
    <xf numFmtId="1" fontId="70" fillId="0" borderId="37" xfId="4" applyNumberFormat="1" applyFont="1" applyBorder="1" applyAlignment="1" applyProtection="1">
      <alignment horizontal="right" vertical="center"/>
      <protection locked="0"/>
    </xf>
    <xf numFmtId="0" fontId="27" fillId="0" borderId="0" xfId="0" applyFont="1" applyBorder="1" applyAlignment="1" applyProtection="1">
      <alignment horizontal="right" vertical="center" wrapText="1"/>
      <protection hidden="1"/>
    </xf>
    <xf numFmtId="0" fontId="76" fillId="0" borderId="29" xfId="4" applyFont="1" applyBorder="1" applyAlignment="1" applyProtection="1">
      <alignment horizontal="center" vertical="center" wrapText="1"/>
      <protection hidden="1"/>
    </xf>
    <xf numFmtId="0" fontId="125" fillId="39" borderId="48" xfId="0" applyFont="1" applyFill="1" applyBorder="1" applyAlignment="1" applyProtection="1">
      <alignment horizontal="center" vertical="top" wrapText="1"/>
      <protection hidden="1"/>
    </xf>
    <xf numFmtId="0" fontId="0" fillId="43" borderId="48" xfId="0" applyFill="1" applyBorder="1" applyAlignment="1" applyProtection="1">
      <alignment horizontal="center"/>
      <protection hidden="1"/>
    </xf>
    <xf numFmtId="0" fontId="0" fillId="43" borderId="50" xfId="0" applyFill="1" applyBorder="1" applyAlignment="1" applyProtection="1">
      <alignment horizontal="center"/>
      <protection hidden="1"/>
    </xf>
    <xf numFmtId="0" fontId="74" fillId="41" borderId="52" xfId="0" applyFont="1" applyFill="1" applyBorder="1" applyAlignment="1" applyProtection="1">
      <alignment horizontal="justify" vertical="center" wrapText="1"/>
      <protection hidden="1"/>
    </xf>
    <xf numFmtId="0" fontId="74" fillId="41" borderId="49" xfId="0" applyFont="1" applyFill="1" applyBorder="1" applyAlignment="1" applyProtection="1">
      <alignment horizontal="justify" vertical="center" wrapText="1"/>
      <protection hidden="1"/>
    </xf>
    <xf numFmtId="0" fontId="34" fillId="45" borderId="52" xfId="0" applyFont="1" applyFill="1" applyBorder="1" applyAlignment="1" applyProtection="1">
      <alignment horizontal="center" vertical="center"/>
      <protection hidden="1"/>
    </xf>
    <xf numFmtId="0" fontId="34" fillId="45" borderId="49" xfId="0" applyFont="1" applyFill="1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/>
      <protection hidden="1"/>
    </xf>
    <xf numFmtId="0" fontId="165" fillId="12" borderId="0" xfId="0" applyFont="1" applyFill="1" applyAlignment="1" applyProtection="1">
      <alignment horizontal="center" vertical="center" wrapText="1"/>
      <protection hidden="1"/>
    </xf>
    <xf numFmtId="0" fontId="128" fillId="47" borderId="6" xfId="7" applyFont="1" applyFill="1" applyBorder="1" applyAlignment="1" applyProtection="1">
      <alignment horizontal="center"/>
      <protection hidden="1"/>
    </xf>
    <xf numFmtId="0" fontId="129" fillId="47" borderId="7" xfId="0" applyFont="1" applyFill="1" applyBorder="1" applyAlignment="1" applyProtection="1">
      <alignment horizontal="center"/>
      <protection hidden="1"/>
    </xf>
    <xf numFmtId="0" fontId="130" fillId="47" borderId="9" xfId="0" applyFont="1" applyFill="1" applyBorder="1" applyAlignment="1" applyProtection="1">
      <alignment horizontal="center"/>
      <protection hidden="1"/>
    </xf>
    <xf numFmtId="0" fontId="130" fillId="47" borderId="11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5" fillId="5" borderId="1" xfId="0" applyFont="1" applyFill="1" applyBorder="1" applyAlignment="1" applyProtection="1">
      <alignment horizontal="left" vertical="top" wrapText="1"/>
      <protection hidden="1"/>
    </xf>
    <xf numFmtId="0" fontId="133" fillId="47" borderId="3" xfId="0" applyFont="1" applyFill="1" applyBorder="1" applyAlignment="1" applyProtection="1">
      <alignment horizontal="center"/>
      <protection hidden="1"/>
    </xf>
    <xf numFmtId="0" fontId="133" fillId="47" borderId="5" xfId="0" applyFont="1" applyFill="1" applyBorder="1" applyAlignment="1" applyProtection="1">
      <alignment horizontal="center"/>
      <protection hidden="1"/>
    </xf>
    <xf numFmtId="0" fontId="132" fillId="47" borderId="6" xfId="0" applyFont="1" applyFill="1" applyBorder="1" applyAlignment="1" applyProtection="1">
      <alignment horizontal="center"/>
      <protection hidden="1"/>
    </xf>
    <xf numFmtId="0" fontId="132" fillId="47" borderId="7" xfId="0" applyFont="1" applyFill="1" applyBorder="1" applyAlignment="1" applyProtection="1">
      <alignment horizontal="center"/>
      <protection hidden="1"/>
    </xf>
    <xf numFmtId="0" fontId="131" fillId="47" borderId="6" xfId="0" applyFont="1" applyFill="1" applyBorder="1" applyAlignment="1" applyProtection="1">
      <alignment horizontal="center"/>
      <protection hidden="1"/>
    </xf>
    <xf numFmtId="0" fontId="131" fillId="47" borderId="7" xfId="0" applyFont="1" applyFill="1" applyBorder="1" applyAlignment="1" applyProtection="1">
      <alignment horizontal="center"/>
      <protection hidden="1"/>
    </xf>
    <xf numFmtId="0" fontId="38" fillId="2" borderId="0" xfId="0" applyFont="1" applyFill="1" applyAlignment="1" applyProtection="1">
      <alignment horizontal="center" vertical="center"/>
      <protection hidden="1"/>
    </xf>
    <xf numFmtId="0" fontId="7" fillId="8" borderId="13" xfId="0" applyFont="1" applyFill="1" applyBorder="1" applyAlignment="1" applyProtection="1">
      <alignment horizontal="right" vertical="center"/>
      <protection hidden="1"/>
    </xf>
    <xf numFmtId="0" fontId="7" fillId="6" borderId="13" xfId="0" applyFont="1" applyFill="1" applyBorder="1" applyAlignment="1" applyProtection="1">
      <alignment horizontal="left" vertical="center"/>
      <protection locked="0"/>
    </xf>
    <xf numFmtId="0" fontId="7" fillId="7" borderId="13" xfId="0" applyFont="1" applyFill="1" applyBorder="1" applyAlignment="1" applyProtection="1">
      <alignment horizontal="right" vertical="center"/>
      <protection hidden="1"/>
    </xf>
    <xf numFmtId="1" fontId="7" fillId="6" borderId="13" xfId="0" applyNumberFormat="1" applyFont="1" applyFill="1" applyBorder="1" applyAlignment="1" applyProtection="1">
      <alignment horizontal="left" vertical="center"/>
      <protection locked="0"/>
    </xf>
    <xf numFmtId="0" fontId="36" fillId="13" borderId="0" xfId="0" applyFont="1" applyFill="1" applyAlignment="1" applyProtection="1">
      <alignment horizontal="center" vertical="center"/>
      <protection hidden="1"/>
    </xf>
    <xf numFmtId="0" fontId="25" fillId="2" borderId="0" xfId="0" applyFont="1" applyFill="1" applyAlignment="1" applyProtection="1">
      <alignment horizontal="center" vertical="center"/>
      <protection hidden="1"/>
    </xf>
    <xf numFmtId="0" fontId="35" fillId="3" borderId="15" xfId="0" applyFont="1" applyFill="1" applyBorder="1" applyAlignment="1" applyProtection="1">
      <alignment horizontal="center" vertical="center"/>
      <protection hidden="1"/>
    </xf>
    <xf numFmtId="3" fontId="7" fillId="6" borderId="13" xfId="0" applyNumberFormat="1" applyFont="1" applyFill="1" applyBorder="1" applyAlignment="1" applyProtection="1">
      <alignment horizontal="left" vertical="center"/>
      <protection locked="0"/>
    </xf>
    <xf numFmtId="0" fontId="17" fillId="8" borderId="13" xfId="0" applyFont="1" applyFill="1" applyBorder="1" applyAlignment="1" applyProtection="1">
      <alignment horizontal="right" vertical="center"/>
      <protection hidden="1"/>
    </xf>
    <xf numFmtId="0" fontId="24" fillId="10" borderId="78" xfId="0" applyFont="1" applyFill="1" applyBorder="1" applyAlignment="1" applyProtection="1">
      <alignment horizontal="center" vertical="center"/>
      <protection hidden="1"/>
    </xf>
    <xf numFmtId="0" fontId="24" fillId="10" borderId="14" xfId="0" applyFont="1" applyFill="1" applyBorder="1" applyAlignment="1" applyProtection="1">
      <alignment horizontal="center" vertical="center"/>
      <protection hidden="1"/>
    </xf>
    <xf numFmtId="0" fontId="170" fillId="52" borderId="79" xfId="7" applyFont="1" applyFill="1" applyBorder="1" applyAlignment="1" applyProtection="1">
      <alignment horizontal="center" vertical="center"/>
      <protection hidden="1"/>
    </xf>
    <xf numFmtId="0" fontId="168" fillId="52" borderId="80" xfId="0" applyFont="1" applyFill="1" applyBorder="1" applyAlignment="1" applyProtection="1">
      <alignment horizontal="center" vertical="center"/>
      <protection hidden="1"/>
    </xf>
    <xf numFmtId="0" fontId="168" fillId="52" borderId="81" xfId="0" applyFont="1" applyFill="1" applyBorder="1" applyAlignment="1" applyProtection="1">
      <alignment horizontal="center" vertical="center"/>
      <protection hidden="1"/>
    </xf>
    <xf numFmtId="0" fontId="28" fillId="6" borderId="13" xfId="0" applyFont="1" applyFill="1" applyBorder="1" applyAlignment="1" applyProtection="1">
      <alignment horizontal="left" vertical="center" wrapText="1"/>
      <protection locked="0"/>
    </xf>
    <xf numFmtId="0" fontId="28" fillId="6" borderId="13" xfId="0" applyFont="1" applyFill="1" applyBorder="1" applyAlignment="1" applyProtection="1">
      <alignment horizontal="left" vertical="center"/>
      <protection locked="0"/>
    </xf>
    <xf numFmtId="0" fontId="7" fillId="6" borderId="13" xfId="0" applyNumberFormat="1" applyFont="1" applyFill="1" applyBorder="1" applyAlignment="1" applyProtection="1">
      <alignment horizontal="left" vertical="center"/>
      <protection locked="0"/>
    </xf>
    <xf numFmtId="166" fontId="7" fillId="6" borderId="13" xfId="0" applyNumberFormat="1" applyFont="1" applyFill="1" applyBorder="1" applyAlignment="1" applyProtection="1">
      <alignment horizontal="left" vertical="center"/>
      <protection locked="0"/>
    </xf>
    <xf numFmtId="0" fontId="20" fillId="14" borderId="1" xfId="0" applyFont="1" applyFill="1" applyBorder="1" applyAlignment="1" applyProtection="1">
      <alignment horizontal="right" vertical="center"/>
      <protection hidden="1"/>
    </xf>
    <xf numFmtId="0" fontId="24" fillId="37" borderId="45" xfId="0" applyFont="1" applyFill="1" applyBorder="1" applyAlignment="1" applyProtection="1">
      <alignment horizontal="center" vertical="center"/>
      <protection hidden="1"/>
    </xf>
    <xf numFmtId="0" fontId="24" fillId="37" borderId="46" xfId="0" applyFont="1" applyFill="1" applyBorder="1" applyAlignment="1" applyProtection="1">
      <alignment horizontal="center" vertical="center"/>
      <protection hidden="1"/>
    </xf>
    <xf numFmtId="0" fontId="24" fillId="37" borderId="47" xfId="0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0" fontId="7" fillId="17" borderId="13" xfId="0" applyFont="1" applyFill="1" applyBorder="1" applyAlignment="1" applyProtection="1">
      <alignment horizontal="left" vertical="center"/>
      <protection locked="0"/>
    </xf>
    <xf numFmtId="49" fontId="7" fillId="6" borderId="13" xfId="0" applyNumberFormat="1" applyFont="1" applyFill="1" applyBorder="1" applyAlignment="1" applyProtection="1">
      <alignment horizontal="left" vertical="center" wrapText="1"/>
      <protection locked="0"/>
    </xf>
    <xf numFmtId="49" fontId="7" fillId="6" borderId="13" xfId="0" applyNumberFormat="1" applyFont="1" applyFill="1" applyBorder="1" applyAlignment="1" applyProtection="1">
      <alignment horizontal="left" vertical="center"/>
      <protection locked="0"/>
    </xf>
    <xf numFmtId="0" fontId="18" fillId="14" borderId="1" xfId="0" applyFont="1" applyFill="1" applyBorder="1" applyAlignment="1" applyProtection="1">
      <alignment horizontal="right" vertical="center"/>
      <protection hidden="1"/>
    </xf>
    <xf numFmtId="165" fontId="7" fillId="6" borderId="13" xfId="0" applyNumberFormat="1" applyFont="1" applyFill="1" applyBorder="1" applyAlignment="1" applyProtection="1">
      <alignment horizontal="left" vertical="center"/>
      <protection locked="0"/>
    </xf>
    <xf numFmtId="0" fontId="21" fillId="16" borderId="1" xfId="0" applyFont="1" applyFill="1" applyBorder="1" applyAlignment="1" applyProtection="1">
      <alignment horizontal="right" vertical="center"/>
      <protection hidden="1"/>
    </xf>
    <xf numFmtId="0" fontId="21" fillId="15" borderId="1" xfId="0" applyFont="1" applyFill="1" applyBorder="1" applyAlignment="1" applyProtection="1">
      <alignment horizontal="right" vertical="center"/>
      <protection hidden="1"/>
    </xf>
    <xf numFmtId="2" fontId="105" fillId="20" borderId="82" xfId="1" applyNumberFormat="1" applyFont="1" applyFill="1" applyBorder="1" applyAlignment="1" applyProtection="1">
      <alignment horizontal="left" vertical="center" wrapText="1"/>
      <protection hidden="1"/>
    </xf>
    <xf numFmtId="2" fontId="105" fillId="20" borderId="83" xfId="1" applyNumberFormat="1" applyFont="1" applyFill="1" applyBorder="1" applyAlignment="1" applyProtection="1">
      <alignment horizontal="left" vertical="center" wrapText="1"/>
      <protection hidden="1"/>
    </xf>
    <xf numFmtId="2" fontId="45" fillId="22" borderId="0" xfId="2" applyNumberFormat="1" applyFont="1" applyFill="1" applyBorder="1" applyAlignment="1" applyProtection="1">
      <alignment horizontal="left" vertical="center"/>
      <protection hidden="1"/>
    </xf>
    <xf numFmtId="2" fontId="45" fillId="22" borderId="53" xfId="2" applyNumberFormat="1" applyFont="1" applyFill="1" applyBorder="1" applyAlignment="1" applyProtection="1">
      <alignment horizontal="left" vertical="center"/>
      <protection hidden="1"/>
    </xf>
    <xf numFmtId="2" fontId="21" fillId="21" borderId="8" xfId="2" applyNumberFormat="1" applyFont="1" applyFill="1" applyBorder="1" applyAlignment="1" applyProtection="1">
      <alignment horizontal="left" vertical="center"/>
      <protection hidden="1"/>
    </xf>
    <xf numFmtId="2" fontId="108" fillId="20" borderId="16" xfId="1" applyNumberFormat="1" applyFont="1" applyFill="1" applyBorder="1" applyAlignment="1" applyProtection="1">
      <alignment horizontal="left" vertical="center" wrapText="1"/>
      <protection hidden="1"/>
    </xf>
    <xf numFmtId="2" fontId="108" fillId="20" borderId="23" xfId="1" applyNumberFormat="1" applyFont="1" applyFill="1" applyBorder="1" applyAlignment="1" applyProtection="1">
      <alignment horizontal="left" vertical="center" wrapText="1"/>
      <protection hidden="1"/>
    </xf>
    <xf numFmtId="0" fontId="0" fillId="25" borderId="0" xfId="0" applyFill="1" applyAlignment="1" applyProtection="1">
      <alignment horizontal="center"/>
      <protection hidden="1"/>
    </xf>
    <xf numFmtId="0" fontId="0" fillId="26" borderId="17" xfId="0" applyFill="1" applyBorder="1" applyAlignment="1" applyProtection="1">
      <alignment horizontal="center" vertical="center"/>
      <protection hidden="1"/>
    </xf>
    <xf numFmtId="2" fontId="112" fillId="34" borderId="8" xfId="2" applyNumberFormat="1" applyFont="1" applyFill="1" applyBorder="1" applyAlignment="1" applyProtection="1">
      <alignment horizontal="left" vertical="center"/>
      <protection hidden="1"/>
    </xf>
    <xf numFmtId="2" fontId="43" fillId="33" borderId="16" xfId="1" applyNumberFormat="1" applyFont="1" applyFill="1" applyBorder="1" applyAlignment="1" applyProtection="1">
      <alignment horizontal="left" vertical="center" wrapText="1"/>
      <protection hidden="1"/>
    </xf>
    <xf numFmtId="2" fontId="43" fillId="33" borderId="23" xfId="1" applyNumberFormat="1" applyFont="1" applyFill="1" applyBorder="1" applyAlignment="1" applyProtection="1">
      <alignment horizontal="left" vertical="center" wrapText="1"/>
      <protection hidden="1"/>
    </xf>
    <xf numFmtId="2" fontId="43" fillId="20" borderId="16" xfId="1" applyNumberFormat="1" applyFont="1" applyFill="1" applyBorder="1" applyAlignment="1" applyProtection="1">
      <alignment horizontal="left" vertical="center" wrapText="1"/>
      <protection hidden="1"/>
    </xf>
    <xf numFmtId="2" fontId="43" fillId="20" borderId="23" xfId="1" applyNumberFormat="1" applyFont="1" applyFill="1" applyBorder="1" applyAlignment="1" applyProtection="1">
      <alignment horizontal="left" vertical="center" wrapText="1"/>
      <protection hidden="1"/>
    </xf>
    <xf numFmtId="2" fontId="110" fillId="20" borderId="16" xfId="1" applyNumberFormat="1" applyFont="1" applyFill="1" applyBorder="1" applyAlignment="1" applyProtection="1">
      <alignment horizontal="left" vertical="center" wrapText="1"/>
      <protection hidden="1"/>
    </xf>
    <xf numFmtId="2" fontId="110" fillId="20" borderId="23" xfId="1" applyNumberFormat="1" applyFont="1" applyFill="1" applyBorder="1" applyAlignment="1" applyProtection="1">
      <alignment horizontal="left" vertical="center" wrapText="1"/>
      <protection hidden="1"/>
    </xf>
    <xf numFmtId="2" fontId="111" fillId="20" borderId="16" xfId="1" applyNumberFormat="1" applyFont="1" applyFill="1" applyBorder="1" applyAlignment="1" applyProtection="1">
      <alignment horizontal="left" vertical="center" wrapText="1"/>
      <protection hidden="1"/>
    </xf>
    <xf numFmtId="2" fontId="111" fillId="20" borderId="23" xfId="1" applyNumberFormat="1" applyFont="1" applyFill="1" applyBorder="1" applyAlignment="1" applyProtection="1">
      <alignment horizontal="left" vertical="center" wrapText="1"/>
      <protection hidden="1"/>
    </xf>
    <xf numFmtId="2" fontId="108" fillId="35" borderId="16" xfId="1" applyNumberFormat="1" applyFont="1" applyFill="1" applyBorder="1" applyAlignment="1" applyProtection="1">
      <alignment horizontal="left" vertical="center" wrapText="1"/>
      <protection hidden="1"/>
    </xf>
    <xf numFmtId="2" fontId="108" fillId="35" borderId="23" xfId="1" applyNumberFormat="1" applyFont="1" applyFill="1" applyBorder="1" applyAlignment="1" applyProtection="1">
      <alignment horizontal="left" vertical="center" wrapText="1"/>
      <protection hidden="1"/>
    </xf>
    <xf numFmtId="2" fontId="21" fillId="36" borderId="27" xfId="2" applyNumberFormat="1" applyFont="1" applyFill="1" applyBorder="1" applyAlignment="1" applyProtection="1">
      <alignment horizontal="left" vertical="center"/>
      <protection hidden="1"/>
    </xf>
    <xf numFmtId="2" fontId="21" fillId="36" borderId="28" xfId="2" applyNumberFormat="1" applyFont="1" applyFill="1" applyBorder="1" applyAlignment="1" applyProtection="1">
      <alignment horizontal="left" vertical="center"/>
      <protection hidden="1"/>
    </xf>
    <xf numFmtId="0" fontId="171" fillId="18" borderId="0" xfId="7" applyFont="1" applyFill="1" applyAlignment="1" applyProtection="1">
      <alignment horizontal="center" vertical="center"/>
      <protection hidden="1"/>
    </xf>
    <xf numFmtId="0" fontId="44" fillId="18" borderId="0" xfId="0" applyFont="1" applyFill="1" applyAlignment="1" applyProtection="1">
      <alignment horizontal="center" vertical="center"/>
      <protection hidden="1"/>
    </xf>
    <xf numFmtId="0" fontId="172" fillId="18" borderId="0" xfId="0" applyFont="1" applyFill="1" applyAlignment="1" applyProtection="1">
      <alignment horizontal="center" vertical="top"/>
      <protection hidden="1"/>
    </xf>
    <xf numFmtId="0" fontId="50" fillId="23" borderId="0" xfId="0" applyFont="1" applyFill="1" applyAlignment="1" applyProtection="1">
      <alignment horizontal="center" vertical="center"/>
      <protection hidden="1"/>
    </xf>
    <xf numFmtId="0" fontId="0" fillId="24" borderId="17" xfId="0" applyFill="1" applyBorder="1" applyAlignment="1" applyProtection="1">
      <alignment horizontal="center"/>
      <protection hidden="1"/>
    </xf>
    <xf numFmtId="2" fontId="47" fillId="21" borderId="8" xfId="2" applyNumberFormat="1" applyFont="1" applyFill="1" applyBorder="1" applyAlignment="1" applyProtection="1">
      <alignment horizontal="left" vertical="center" wrapText="1"/>
      <protection hidden="1"/>
    </xf>
    <xf numFmtId="2" fontId="21" fillId="32" borderId="8" xfId="2" applyNumberFormat="1" applyFont="1" applyFill="1" applyBorder="1" applyAlignment="1" applyProtection="1">
      <alignment horizontal="left" vertical="center" wrapText="1"/>
      <protection hidden="1"/>
    </xf>
    <xf numFmtId="2" fontId="47" fillId="21" borderId="16" xfId="2" applyNumberFormat="1" applyFont="1" applyFill="1" applyBorder="1" applyAlignment="1" applyProtection="1">
      <alignment horizontal="left" vertical="center"/>
      <protection hidden="1"/>
    </xf>
    <xf numFmtId="2" fontId="47" fillId="21" borderId="23" xfId="2" applyNumberFormat="1" applyFont="1" applyFill="1" applyBorder="1" applyAlignment="1" applyProtection="1">
      <alignment horizontal="left" vertical="center"/>
      <protection hidden="1"/>
    </xf>
    <xf numFmtId="1" fontId="7" fillId="0" borderId="19" xfId="0" applyNumberFormat="1" applyFont="1" applyBorder="1" applyAlignment="1" applyProtection="1">
      <alignment horizontal="left" vertical="center" wrapText="1"/>
      <protection hidden="1"/>
    </xf>
    <xf numFmtId="0" fontId="7" fillId="0" borderId="4" xfId="0" applyFont="1" applyBorder="1" applyAlignment="1" applyProtection="1">
      <alignment horizontal="left" vertical="center"/>
      <protection hidden="1"/>
    </xf>
    <xf numFmtId="0" fontId="7" fillId="0" borderId="5" xfId="0" applyFont="1" applyBorder="1" applyAlignment="1" applyProtection="1">
      <alignment horizontal="left" vertical="center"/>
      <protection hidden="1"/>
    </xf>
    <xf numFmtId="0" fontId="27" fillId="0" borderId="6" xfId="0" applyFont="1" applyBorder="1" applyAlignment="1" applyProtection="1">
      <alignment horizontal="right" vertical="center" wrapText="1"/>
      <protection hidden="1"/>
    </xf>
    <xf numFmtId="0" fontId="27" fillId="0" borderId="0" xfId="0" applyFont="1" applyBorder="1" applyAlignment="1" applyProtection="1">
      <alignment horizontal="right" vertical="center" wrapText="1"/>
      <protection hidden="1"/>
    </xf>
    <xf numFmtId="0" fontId="52" fillId="0" borderId="0" xfId="0" applyFont="1" applyBorder="1" applyAlignment="1" applyProtection="1">
      <alignment horizontal="left" vertical="center" wrapText="1"/>
      <protection hidden="1"/>
    </xf>
    <xf numFmtId="0" fontId="28" fillId="0" borderId="0" xfId="0" applyFont="1" applyBorder="1" applyAlignment="1" applyProtection="1">
      <alignment horizontal="left" vertical="center" wrapText="1"/>
      <protection hidden="1"/>
    </xf>
    <xf numFmtId="0" fontId="49" fillId="0" borderId="0" xfId="0" applyFont="1" applyBorder="1" applyAlignment="1" applyProtection="1">
      <alignment horizontal="center" vertical="center" wrapText="1"/>
      <protection hidden="1"/>
    </xf>
    <xf numFmtId="0" fontId="49" fillId="0" borderId="7" xfId="0" applyFont="1" applyBorder="1" applyAlignment="1" applyProtection="1">
      <alignment horizontal="center" vertical="center" wrapText="1"/>
      <protection hidden="1"/>
    </xf>
    <xf numFmtId="0" fontId="27" fillId="0" borderId="0" xfId="0" applyFont="1" applyBorder="1" applyAlignment="1" applyProtection="1">
      <alignment horizontal="center" vertical="center" wrapText="1"/>
      <protection hidden="1"/>
    </xf>
    <xf numFmtId="0" fontId="60" fillId="0" borderId="19" xfId="0" applyNumberFormat="1" applyFont="1" applyBorder="1" applyAlignment="1" applyProtection="1">
      <alignment horizontal="center" vertical="center"/>
      <protection hidden="1"/>
    </xf>
    <xf numFmtId="165" fontId="7" fillId="0" borderId="19" xfId="0" applyNumberFormat="1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58" fillId="0" borderId="0" xfId="0" applyFont="1" applyBorder="1" applyAlignment="1" applyProtection="1">
      <alignment horizontal="center" vertical="center" wrapText="1"/>
      <protection hidden="1"/>
    </xf>
    <xf numFmtId="0" fontId="27" fillId="0" borderId="10" xfId="0" applyFont="1" applyBorder="1" applyAlignment="1" applyProtection="1">
      <alignment horizontal="center" vertical="center"/>
      <protection hidden="1"/>
    </xf>
    <xf numFmtId="0" fontId="27" fillId="0" borderId="10" xfId="0" applyFont="1" applyBorder="1" applyAlignment="1" applyProtection="1">
      <alignment horizontal="center" vertical="center" wrapText="1"/>
      <protection hidden="1"/>
    </xf>
    <xf numFmtId="0" fontId="51" fillId="0" borderId="4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1" fontId="28" fillId="0" borderId="19" xfId="0" applyNumberFormat="1" applyFont="1" applyBorder="1" applyAlignment="1" applyProtection="1">
      <alignment horizontal="left" vertical="center" wrapText="1"/>
      <protection hidden="1"/>
    </xf>
    <xf numFmtId="1" fontId="28" fillId="0" borderId="20" xfId="0" applyNumberFormat="1" applyFont="1" applyBorder="1" applyAlignment="1" applyProtection="1">
      <alignment horizontal="left" vertical="center" wrapText="1"/>
      <protection hidden="1"/>
    </xf>
    <xf numFmtId="0" fontId="27" fillId="0" borderId="21" xfId="0" applyFont="1" applyBorder="1" applyAlignment="1" applyProtection="1">
      <alignment horizontal="center" vertical="center"/>
      <protection hidden="1"/>
    </xf>
    <xf numFmtId="0" fontId="27" fillId="0" borderId="22" xfId="0" applyFont="1" applyBorder="1" applyAlignment="1" applyProtection="1">
      <alignment horizontal="center" vertical="center"/>
      <protection hidden="1"/>
    </xf>
    <xf numFmtId="0" fontId="27" fillId="0" borderId="23" xfId="0" applyFont="1" applyBorder="1" applyAlignment="1" applyProtection="1">
      <alignment horizontal="center" vertical="center"/>
      <protection hidden="1"/>
    </xf>
    <xf numFmtId="0" fontId="27" fillId="0" borderId="16" xfId="0" applyFont="1" applyBorder="1" applyAlignment="1" applyProtection="1">
      <alignment horizontal="center" vertical="center" wrapText="1"/>
      <protection hidden="1"/>
    </xf>
    <xf numFmtId="0" fontId="1" fillId="0" borderId="26" xfId="0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1" fillId="0" borderId="8" xfId="0" applyFont="1" applyBorder="1" applyAlignment="1" applyProtection="1">
      <alignment horizontal="center" vertical="center" textRotation="90"/>
      <protection hidden="1"/>
    </xf>
    <xf numFmtId="0" fontId="1" fillId="0" borderId="24" xfId="0" applyFont="1" applyBorder="1" applyAlignment="1" applyProtection="1">
      <alignment horizontal="center" vertical="center" textRotation="90"/>
      <protection hidden="1"/>
    </xf>
    <xf numFmtId="0" fontId="27" fillId="0" borderId="18" xfId="0" applyFont="1" applyBorder="1" applyAlignment="1" applyProtection="1">
      <alignment horizontal="right" vertical="center" wrapText="1"/>
      <protection hidden="1"/>
    </xf>
    <xf numFmtId="0" fontId="27" fillId="0" borderId="19" xfId="0" applyFont="1" applyBorder="1" applyAlignment="1" applyProtection="1">
      <alignment horizontal="right" vertical="center" wrapText="1"/>
      <protection hidden="1"/>
    </xf>
    <xf numFmtId="0" fontId="7" fillId="0" borderId="19" xfId="0" applyFont="1" applyBorder="1" applyAlignment="1" applyProtection="1">
      <alignment horizontal="left" vertical="center" wrapText="1"/>
      <protection hidden="1"/>
    </xf>
    <xf numFmtId="0" fontId="27" fillId="0" borderId="19" xfId="0" applyFont="1" applyBorder="1" applyAlignment="1" applyProtection="1">
      <alignment horizontal="center" vertical="center" wrapText="1"/>
      <protection hidden="1"/>
    </xf>
    <xf numFmtId="0" fontId="175" fillId="0" borderId="0" xfId="7" applyFont="1" applyBorder="1" applyAlignment="1" applyProtection="1">
      <alignment horizontal="center" vertical="center" wrapText="1"/>
      <protection hidden="1"/>
    </xf>
    <xf numFmtId="0" fontId="98" fillId="0" borderId="0" xfId="0" applyFont="1" applyAlignment="1" applyProtection="1">
      <alignment horizontal="center" vertical="center" wrapText="1"/>
      <protection hidden="1"/>
    </xf>
    <xf numFmtId="0" fontId="119" fillId="0" borderId="3" xfId="4" applyFont="1" applyBorder="1" applyAlignment="1" applyProtection="1">
      <alignment horizontal="justify" vertical="center" wrapText="1"/>
      <protection hidden="1"/>
    </xf>
    <xf numFmtId="0" fontId="119" fillId="0" borderId="4" xfId="4" applyFont="1" applyBorder="1" applyAlignment="1" applyProtection="1">
      <alignment horizontal="justify" vertical="center" wrapText="1"/>
      <protection hidden="1"/>
    </xf>
    <xf numFmtId="0" fontId="119" fillId="0" borderId="5" xfId="4" applyFont="1" applyBorder="1" applyAlignment="1" applyProtection="1">
      <alignment horizontal="justify" vertical="center" wrapText="1"/>
      <protection hidden="1"/>
    </xf>
    <xf numFmtId="0" fontId="119" fillId="0" borderId="6" xfId="4" applyFont="1" applyBorder="1" applyAlignment="1" applyProtection="1">
      <alignment horizontal="justify" vertical="center" wrapText="1"/>
      <protection hidden="1"/>
    </xf>
    <xf numFmtId="0" fontId="119" fillId="0" borderId="0" xfId="4" applyFont="1" applyBorder="1" applyAlignment="1" applyProtection="1">
      <alignment horizontal="justify" vertical="center" wrapText="1"/>
      <protection hidden="1"/>
    </xf>
    <xf numFmtId="0" fontId="119" fillId="0" borderId="7" xfId="4" applyFont="1" applyBorder="1" applyAlignment="1" applyProtection="1">
      <alignment horizontal="justify" vertical="center" wrapText="1"/>
      <protection hidden="1"/>
    </xf>
    <xf numFmtId="0" fontId="119" fillId="0" borderId="9" xfId="4" applyFont="1" applyBorder="1" applyAlignment="1" applyProtection="1">
      <alignment horizontal="justify" vertical="center" wrapText="1"/>
      <protection hidden="1"/>
    </xf>
    <xf numFmtId="0" fontId="119" fillId="0" borderId="10" xfId="4" applyFont="1" applyBorder="1" applyAlignment="1" applyProtection="1">
      <alignment horizontal="justify" vertical="center" wrapText="1"/>
      <protection hidden="1"/>
    </xf>
    <xf numFmtId="0" fontId="119" fillId="0" borderId="11" xfId="4" applyFont="1" applyBorder="1" applyAlignment="1" applyProtection="1">
      <alignment horizontal="justify" vertical="center" wrapText="1"/>
      <protection hidden="1"/>
    </xf>
    <xf numFmtId="0" fontId="61" fillId="0" borderId="0" xfId="3" applyFont="1" applyAlignment="1" applyProtection="1">
      <alignment horizontal="center" vertical="center"/>
      <protection hidden="1"/>
    </xf>
    <xf numFmtId="0" fontId="63" fillId="0" borderId="34" xfId="4" applyFont="1" applyBorder="1" applyAlignment="1" applyProtection="1">
      <alignment horizontal="left" vertical="center"/>
      <protection hidden="1"/>
    </xf>
    <xf numFmtId="0" fontId="64" fillId="0" borderId="34" xfId="5" applyFont="1" applyFill="1" applyBorder="1" applyAlignment="1" applyProtection="1">
      <alignment horizontal="left" vertical="center"/>
      <protection hidden="1"/>
    </xf>
    <xf numFmtId="0" fontId="64" fillId="0" borderId="34" xfId="4" applyFont="1" applyFill="1" applyBorder="1" applyAlignment="1" applyProtection="1">
      <alignment horizontal="left" vertical="center"/>
      <protection hidden="1"/>
    </xf>
    <xf numFmtId="0" fontId="64" fillId="0" borderId="34" xfId="4" applyFont="1" applyFill="1" applyBorder="1" applyAlignment="1" applyProtection="1">
      <alignment horizontal="center" vertical="center"/>
      <protection hidden="1"/>
    </xf>
    <xf numFmtId="0" fontId="64" fillId="0" borderId="35" xfId="4" applyFont="1" applyFill="1" applyBorder="1" applyAlignment="1" applyProtection="1">
      <alignment horizontal="center" vertical="center"/>
      <protection hidden="1"/>
    </xf>
    <xf numFmtId="0" fontId="62" fillId="0" borderId="0" xfId="3" applyFont="1" applyBorder="1" applyAlignment="1" applyProtection="1">
      <alignment horizontal="right" vertical="center"/>
      <protection hidden="1"/>
    </xf>
    <xf numFmtId="0" fontId="31" fillId="0" borderId="0" xfId="3" applyFont="1" applyBorder="1" applyAlignment="1" applyProtection="1">
      <alignment horizontal="center" vertical="center"/>
      <protection hidden="1"/>
    </xf>
    <xf numFmtId="0" fontId="62" fillId="0" borderId="43" xfId="3" applyFont="1" applyBorder="1" applyAlignment="1" applyProtection="1">
      <alignment horizontal="right" vertical="center"/>
      <protection hidden="1"/>
    </xf>
    <xf numFmtId="0" fontId="103" fillId="30" borderId="0" xfId="3" applyFont="1" applyFill="1" applyBorder="1" applyAlignment="1" applyProtection="1">
      <alignment horizontal="center" vertical="center" wrapText="1"/>
      <protection hidden="1"/>
    </xf>
    <xf numFmtId="0" fontId="103" fillId="30" borderId="0" xfId="3" applyFont="1" applyFill="1" applyBorder="1" applyAlignment="1" applyProtection="1">
      <alignment horizontal="center" vertical="center"/>
      <protection hidden="1"/>
    </xf>
    <xf numFmtId="0" fontId="31" fillId="0" borderId="43" xfId="3" applyFont="1" applyBorder="1" applyAlignment="1" applyProtection="1">
      <alignment horizontal="left" vertical="center"/>
      <protection hidden="1"/>
    </xf>
    <xf numFmtId="0" fontId="63" fillId="0" borderId="29" xfId="4" applyFont="1" applyBorder="1" applyAlignment="1" applyProtection="1">
      <alignment horizontal="left" vertical="center"/>
      <protection hidden="1"/>
    </xf>
    <xf numFmtId="1" fontId="70" fillId="0" borderId="29" xfId="4" applyNumberFormat="1" applyFont="1" applyFill="1" applyBorder="1" applyAlignment="1" applyProtection="1">
      <alignment horizontal="center" vertical="center"/>
      <protection hidden="1"/>
    </xf>
    <xf numFmtId="0" fontId="74" fillId="0" borderId="29" xfId="4" applyFont="1" applyBorder="1" applyAlignment="1" applyProtection="1">
      <alignment horizontal="right" vertical="center"/>
      <protection hidden="1"/>
    </xf>
    <xf numFmtId="0" fontId="63" fillId="0" borderId="39" xfId="4" applyFont="1" applyBorder="1" applyAlignment="1" applyProtection="1">
      <alignment horizontal="center" vertical="top"/>
      <protection hidden="1"/>
    </xf>
    <xf numFmtId="0" fontId="63" fillId="0" borderId="29" xfId="4" applyFont="1" applyBorder="1" applyAlignment="1" applyProtection="1">
      <alignment horizontal="center" vertical="center"/>
      <protection hidden="1"/>
    </xf>
    <xf numFmtId="2" fontId="70" fillId="0" borderId="29" xfId="4" applyNumberFormat="1" applyFont="1" applyBorder="1" applyAlignment="1" applyProtection="1">
      <alignment horizontal="center" vertical="center"/>
      <protection hidden="1"/>
    </xf>
    <xf numFmtId="0" fontId="42" fillId="0" borderId="3" xfId="0" applyFont="1" applyBorder="1" applyAlignment="1" applyProtection="1">
      <alignment horizontal="justify" vertical="center" wrapText="1"/>
      <protection hidden="1"/>
    </xf>
    <xf numFmtId="0" fontId="42" fillId="0" borderId="4" xfId="0" applyFont="1" applyBorder="1" applyAlignment="1" applyProtection="1">
      <alignment horizontal="justify" vertical="center" wrapText="1"/>
      <protection hidden="1"/>
    </xf>
    <xf numFmtId="0" fontId="42" fillId="0" borderId="5" xfId="0" applyFont="1" applyBorder="1" applyAlignment="1" applyProtection="1">
      <alignment horizontal="justify" vertical="center" wrapText="1"/>
      <protection hidden="1"/>
    </xf>
    <xf numFmtId="0" fontId="42" fillId="0" borderId="6" xfId="0" applyFont="1" applyBorder="1" applyAlignment="1" applyProtection="1">
      <alignment horizontal="justify" vertical="center" wrapText="1"/>
      <protection hidden="1"/>
    </xf>
    <xf numFmtId="0" fontId="42" fillId="0" borderId="0" xfId="0" applyFont="1" applyBorder="1" applyAlignment="1" applyProtection="1">
      <alignment horizontal="justify" vertical="center" wrapText="1"/>
      <protection hidden="1"/>
    </xf>
    <xf numFmtId="0" fontId="42" fillId="0" borderId="7" xfId="0" applyFont="1" applyBorder="1" applyAlignment="1" applyProtection="1">
      <alignment horizontal="justify" vertical="center" wrapText="1"/>
      <protection hidden="1"/>
    </xf>
    <xf numFmtId="0" fontId="42" fillId="0" borderId="9" xfId="0" applyFont="1" applyBorder="1" applyAlignment="1" applyProtection="1">
      <alignment horizontal="justify" vertical="center" wrapText="1"/>
      <protection hidden="1"/>
    </xf>
    <xf numFmtId="0" fontId="42" fillId="0" borderId="10" xfId="0" applyFont="1" applyBorder="1" applyAlignment="1" applyProtection="1">
      <alignment horizontal="justify" vertical="center" wrapText="1"/>
      <protection hidden="1"/>
    </xf>
    <xf numFmtId="0" fontId="42" fillId="0" borderId="11" xfId="0" applyFont="1" applyBorder="1" applyAlignment="1" applyProtection="1">
      <alignment horizontal="justify" vertical="center" wrapText="1"/>
      <protection hidden="1"/>
    </xf>
    <xf numFmtId="0" fontId="63" fillId="0" borderId="29" xfId="4" applyFont="1" applyBorder="1" applyAlignment="1" applyProtection="1">
      <alignment horizontal="left"/>
      <protection hidden="1"/>
    </xf>
    <xf numFmtId="0" fontId="63" fillId="0" borderId="29" xfId="4" applyFont="1" applyBorder="1" applyAlignment="1" applyProtection="1">
      <alignment horizontal="right" vertical="center"/>
      <protection hidden="1"/>
    </xf>
    <xf numFmtId="1" fontId="72" fillId="0" borderId="29" xfId="4" applyNumberFormat="1" applyFont="1" applyBorder="1" applyAlignment="1" applyProtection="1">
      <alignment horizontal="center" vertical="center"/>
      <protection hidden="1"/>
    </xf>
    <xf numFmtId="1" fontId="72" fillId="0" borderId="37" xfId="4" applyNumberFormat="1" applyFont="1" applyBorder="1" applyAlignment="1" applyProtection="1">
      <alignment horizontal="center" vertical="center"/>
      <protection hidden="1"/>
    </xf>
    <xf numFmtId="2" fontId="70" fillId="0" borderId="29" xfId="4" applyNumberFormat="1" applyFont="1" applyBorder="1" applyAlignment="1" applyProtection="1">
      <alignment horizontal="center" vertical="center"/>
      <protection locked="0"/>
    </xf>
    <xf numFmtId="0" fontId="63" fillId="0" borderId="30" xfId="4" applyFont="1" applyBorder="1" applyAlignment="1" applyProtection="1">
      <alignment horizontal="right" vertical="center"/>
      <protection hidden="1"/>
    </xf>
    <xf numFmtId="0" fontId="63" fillId="0" borderId="31" xfId="4" applyFont="1" applyBorder="1" applyAlignment="1" applyProtection="1">
      <alignment horizontal="right" vertical="center"/>
      <protection hidden="1"/>
    </xf>
    <xf numFmtId="0" fontId="63" fillId="0" borderId="32" xfId="4" applyFont="1" applyBorder="1" applyAlignment="1" applyProtection="1">
      <alignment horizontal="right" vertical="center"/>
      <protection hidden="1"/>
    </xf>
    <xf numFmtId="0" fontId="63" fillId="0" borderId="36" xfId="4" applyFont="1" applyBorder="1" applyAlignment="1" applyProtection="1">
      <alignment horizontal="center" vertical="center"/>
      <protection hidden="1"/>
    </xf>
    <xf numFmtId="0" fontId="63" fillId="0" borderId="38" xfId="4" applyFont="1" applyBorder="1" applyAlignment="1" applyProtection="1">
      <alignment horizontal="center" vertical="center"/>
      <protection hidden="1"/>
    </xf>
    <xf numFmtId="0" fontId="81" fillId="0" borderId="29" xfId="4" applyFont="1" applyFill="1" applyBorder="1" applyAlignment="1" applyProtection="1">
      <protection hidden="1"/>
    </xf>
    <xf numFmtId="0" fontId="81" fillId="0" borderId="30" xfId="4" applyFont="1" applyBorder="1" applyAlignment="1" applyProtection="1">
      <alignment horizontal="left" vertical="center"/>
      <protection hidden="1"/>
    </xf>
    <xf numFmtId="0" fontId="81" fillId="0" borderId="31" xfId="4" applyFont="1" applyBorder="1" applyAlignment="1" applyProtection="1">
      <alignment horizontal="left" vertical="center"/>
      <protection hidden="1"/>
    </xf>
    <xf numFmtId="0" fontId="81" fillId="0" borderId="32" xfId="4" applyFont="1" applyBorder="1" applyAlignment="1" applyProtection="1">
      <alignment horizontal="left" vertical="center"/>
      <protection hidden="1"/>
    </xf>
    <xf numFmtId="1" fontId="75" fillId="0" borderId="29" xfId="4" applyNumberFormat="1" applyFont="1" applyBorder="1" applyAlignment="1" applyProtection="1">
      <alignment horizontal="center" vertical="center"/>
      <protection hidden="1"/>
    </xf>
    <xf numFmtId="1" fontId="75" fillId="0" borderId="37" xfId="4" applyNumberFormat="1" applyFont="1" applyBorder="1" applyAlignment="1" applyProtection="1">
      <alignment horizontal="center" vertical="center"/>
      <protection hidden="1"/>
    </xf>
    <xf numFmtId="0" fontId="63" fillId="0" borderId="29" xfId="4" applyFont="1" applyBorder="1" applyAlignment="1" applyProtection="1">
      <alignment horizontal="left" vertical="center" wrapText="1"/>
      <protection hidden="1"/>
    </xf>
    <xf numFmtId="0" fontId="63" fillId="0" borderId="29" xfId="4" applyFont="1" applyBorder="1" applyAlignment="1" applyProtection="1">
      <alignment horizontal="center"/>
      <protection hidden="1"/>
    </xf>
    <xf numFmtId="0" fontId="64" fillId="0" borderId="29" xfId="4" applyFont="1" applyBorder="1" applyAlignment="1" applyProtection="1">
      <alignment horizontal="center" vertical="center"/>
      <protection hidden="1"/>
    </xf>
    <xf numFmtId="0" fontId="81" fillId="0" borderId="29" xfId="4" applyFont="1" applyFill="1" applyBorder="1" applyAlignment="1" applyProtection="1">
      <alignment horizontal="left"/>
      <protection hidden="1"/>
    </xf>
    <xf numFmtId="0" fontId="64" fillId="0" borderId="30" xfId="4" applyFont="1" applyBorder="1" applyAlignment="1" applyProtection="1">
      <alignment horizontal="center" vertical="center"/>
      <protection hidden="1"/>
    </xf>
    <xf numFmtId="0" fontId="64" fillId="0" borderId="32" xfId="4" applyFont="1" applyBorder="1" applyAlignment="1" applyProtection="1">
      <alignment horizontal="center" vertical="center"/>
      <protection hidden="1"/>
    </xf>
    <xf numFmtId="0" fontId="70" fillId="0" borderId="30" xfId="4" applyFont="1" applyBorder="1" applyAlignment="1" applyProtection="1">
      <alignment horizontal="center" vertical="center"/>
      <protection hidden="1"/>
    </xf>
    <xf numFmtId="0" fontId="70" fillId="0" borderId="32" xfId="4" applyFont="1" applyBorder="1" applyAlignment="1" applyProtection="1">
      <alignment horizontal="center" vertical="center"/>
      <protection hidden="1"/>
    </xf>
    <xf numFmtId="0" fontId="76" fillId="0" borderId="30" xfId="4" applyFont="1" applyBorder="1" applyAlignment="1" applyProtection="1">
      <alignment horizontal="left" vertical="center"/>
      <protection hidden="1"/>
    </xf>
    <xf numFmtId="0" fontId="76" fillId="0" borderId="31" xfId="4" applyFont="1" applyBorder="1" applyAlignment="1" applyProtection="1">
      <alignment horizontal="left" vertical="center"/>
      <protection hidden="1"/>
    </xf>
    <xf numFmtId="0" fontId="76" fillId="0" borderId="32" xfId="4" applyFont="1" applyBorder="1" applyAlignment="1" applyProtection="1">
      <alignment horizontal="left" vertical="center"/>
      <protection hidden="1"/>
    </xf>
    <xf numFmtId="0" fontId="77" fillId="0" borderId="29" xfId="4" applyFont="1" applyBorder="1" applyAlignment="1" applyProtection="1">
      <alignment horizontal="left" vertical="center"/>
      <protection hidden="1"/>
    </xf>
    <xf numFmtId="0" fontId="77" fillId="0" borderId="37" xfId="4" applyFont="1" applyBorder="1" applyAlignment="1" applyProtection="1">
      <alignment horizontal="left" vertical="center"/>
      <protection hidden="1"/>
    </xf>
    <xf numFmtId="0" fontId="41" fillId="0" borderId="29" xfId="4" applyFont="1" applyBorder="1" applyAlignment="1" applyProtection="1">
      <alignment horizontal="left"/>
      <protection hidden="1"/>
    </xf>
    <xf numFmtId="0" fontId="41" fillId="0" borderId="37" xfId="4" applyFont="1" applyBorder="1" applyAlignment="1" applyProtection="1">
      <alignment horizontal="left"/>
      <protection hidden="1"/>
    </xf>
    <xf numFmtId="0" fontId="81" fillId="0" borderId="29" xfId="4" applyFont="1" applyBorder="1" applyAlignment="1" applyProtection="1">
      <alignment horizontal="left"/>
      <protection hidden="1"/>
    </xf>
    <xf numFmtId="0" fontId="73" fillId="0" borderId="30" xfId="4" applyFont="1" applyFill="1" applyBorder="1" applyAlignment="1" applyProtection="1">
      <alignment horizontal="left" vertical="center" wrapText="1"/>
      <protection hidden="1"/>
    </xf>
    <xf numFmtId="0" fontId="73" fillId="0" borderId="31" xfId="4" applyFont="1" applyFill="1" applyBorder="1" applyAlignment="1" applyProtection="1">
      <alignment horizontal="left" vertical="center" wrapText="1"/>
      <protection hidden="1"/>
    </xf>
    <xf numFmtId="0" fontId="73" fillId="0" borderId="32" xfId="4" applyFont="1" applyFill="1" applyBorder="1" applyAlignment="1" applyProtection="1">
      <alignment horizontal="left" vertical="center" wrapText="1"/>
      <protection hidden="1"/>
    </xf>
    <xf numFmtId="0" fontId="63" fillId="0" borderId="37" xfId="4" applyFont="1" applyBorder="1" applyAlignment="1" applyProtection="1">
      <alignment horizontal="center"/>
      <protection hidden="1"/>
    </xf>
    <xf numFmtId="0" fontId="30" fillId="0" borderId="29" xfId="4" applyFont="1" applyBorder="1" applyAlignment="1" applyProtection="1">
      <alignment horizontal="left"/>
      <protection hidden="1"/>
    </xf>
    <xf numFmtId="0" fontId="73" fillId="0" borderId="29" xfId="4" applyFont="1" applyBorder="1" applyAlignment="1" applyProtection="1">
      <alignment horizontal="left"/>
      <protection hidden="1"/>
    </xf>
    <xf numFmtId="0" fontId="63" fillId="0" borderId="29" xfId="4" applyFont="1" applyFill="1" applyBorder="1" applyAlignment="1" applyProtection="1">
      <alignment horizontal="left"/>
      <protection hidden="1"/>
    </xf>
    <xf numFmtId="0" fontId="95" fillId="0" borderId="0" xfId="3" applyFont="1" applyBorder="1" applyAlignment="1" applyProtection="1">
      <alignment horizontal="center" vertical="center"/>
      <protection hidden="1"/>
    </xf>
    <xf numFmtId="2" fontId="63" fillId="0" borderId="29" xfId="0" applyNumberFormat="1" applyFont="1" applyBorder="1" applyAlignment="1" applyProtection="1">
      <alignment horizontal="left"/>
      <protection hidden="1"/>
    </xf>
    <xf numFmtId="2" fontId="76" fillId="0" borderId="29" xfId="0" applyNumberFormat="1" applyFont="1" applyBorder="1" applyAlignment="1" applyProtection="1">
      <alignment horizontal="center" vertical="center"/>
      <protection hidden="1"/>
    </xf>
    <xf numFmtId="0" fontId="87" fillId="0" borderId="29" xfId="4" applyFont="1" applyBorder="1" applyAlignment="1" applyProtection="1">
      <alignment horizontal="left" vertical="center"/>
      <protection hidden="1"/>
    </xf>
    <xf numFmtId="0" fontId="76" fillId="0" borderId="29" xfId="4" applyFont="1" applyBorder="1" applyAlignment="1" applyProtection="1">
      <alignment horizontal="left" vertical="center"/>
      <protection hidden="1"/>
    </xf>
    <xf numFmtId="0" fontId="78" fillId="0" borderId="40" xfId="4" applyFont="1" applyBorder="1" applyAlignment="1" applyProtection="1">
      <alignment horizontal="right" vertical="center"/>
      <protection hidden="1"/>
    </xf>
    <xf numFmtId="0" fontId="78" fillId="0" borderId="41" xfId="4" applyFont="1" applyBorder="1" applyAlignment="1" applyProtection="1">
      <alignment horizontal="right" vertical="center"/>
      <protection hidden="1"/>
    </xf>
    <xf numFmtId="0" fontId="63" fillId="0" borderId="37" xfId="4" applyFont="1" applyBorder="1" applyAlignment="1" applyProtection="1">
      <alignment horizontal="left"/>
      <protection hidden="1"/>
    </xf>
    <xf numFmtId="0" fontId="84" fillId="0" borderId="29" xfId="4" applyFont="1" applyBorder="1" applyAlignment="1" applyProtection="1">
      <alignment horizontal="center" vertical="center"/>
      <protection hidden="1"/>
    </xf>
    <xf numFmtId="0" fontId="65" fillId="0" borderId="29" xfId="4" applyFont="1" applyBorder="1" applyAlignment="1" applyProtection="1">
      <alignment horizontal="center"/>
      <protection hidden="1"/>
    </xf>
    <xf numFmtId="0" fontId="41" fillId="0" borderId="29" xfId="4" applyFont="1" applyBorder="1" applyAlignment="1" applyProtection="1">
      <alignment horizontal="center"/>
      <protection hidden="1"/>
    </xf>
    <xf numFmtId="0" fontId="0" fillId="0" borderId="29" xfId="4" applyFont="1" applyBorder="1" applyAlignment="1" applyProtection="1">
      <alignment horizontal="center"/>
      <protection hidden="1"/>
    </xf>
    <xf numFmtId="0" fontId="169" fillId="0" borderId="0" xfId="0" applyFont="1" applyAlignment="1" applyProtection="1">
      <alignment horizontal="center"/>
      <protection hidden="1"/>
    </xf>
    <xf numFmtId="0" fontId="15" fillId="0" borderId="4" xfId="0" applyFont="1" applyBorder="1" applyAlignment="1" applyProtection="1">
      <alignment horizontal="center" vertical="top" wrapText="1"/>
      <protection hidden="1"/>
    </xf>
    <xf numFmtId="0" fontId="15" fillId="0" borderId="0" xfId="0" applyFont="1" applyBorder="1" applyAlignment="1" applyProtection="1">
      <alignment horizontal="center" vertical="top" wrapText="1"/>
      <protection hidden="1"/>
    </xf>
    <xf numFmtId="0" fontId="161" fillId="50" borderId="56" xfId="0" applyFont="1" applyFill="1" applyBorder="1" applyAlignment="1" applyProtection="1">
      <alignment horizontal="center" wrapText="1"/>
      <protection hidden="1"/>
    </xf>
    <xf numFmtId="0" fontId="161" fillId="50" borderId="57" xfId="0" applyFont="1" applyFill="1" applyBorder="1" applyAlignment="1" applyProtection="1">
      <alignment horizontal="center" wrapText="1"/>
      <protection hidden="1"/>
    </xf>
    <xf numFmtId="0" fontId="161" fillId="50" borderId="58" xfId="0" applyFont="1" applyFill="1" applyBorder="1" applyAlignment="1" applyProtection="1">
      <alignment horizontal="center" wrapText="1"/>
      <protection hidden="1"/>
    </xf>
    <xf numFmtId="0" fontId="161" fillId="50" borderId="62" xfId="0" applyFont="1" applyFill="1" applyBorder="1" applyAlignment="1" applyProtection="1">
      <alignment horizontal="center" wrapText="1"/>
      <protection hidden="1"/>
    </xf>
    <xf numFmtId="0" fontId="161" fillId="50" borderId="0" xfId="0" applyFont="1" applyFill="1" applyBorder="1" applyAlignment="1" applyProtection="1">
      <alignment horizontal="center" wrapText="1"/>
      <protection hidden="1"/>
    </xf>
    <xf numFmtId="0" fontId="161" fillId="50" borderId="63" xfId="0" applyFont="1" applyFill="1" applyBorder="1" applyAlignment="1" applyProtection="1">
      <alignment horizontal="center" wrapText="1"/>
      <protection hidden="1"/>
    </xf>
    <xf numFmtId="0" fontId="161" fillId="50" borderId="60" xfId="0" applyFont="1" applyFill="1" applyBorder="1" applyAlignment="1" applyProtection="1">
      <alignment horizontal="center" wrapText="1"/>
      <protection hidden="1"/>
    </xf>
    <xf numFmtId="0" fontId="161" fillId="50" borderId="61" xfId="0" applyFont="1" applyFill="1" applyBorder="1" applyAlignment="1" applyProtection="1">
      <alignment horizontal="center" wrapText="1"/>
      <protection hidden="1"/>
    </xf>
    <xf numFmtId="2" fontId="164" fillId="51" borderId="56" xfId="4" applyNumberFormat="1" applyFont="1" applyFill="1" applyBorder="1" applyAlignment="1" applyProtection="1">
      <alignment horizontal="center" vertical="center"/>
      <protection hidden="1"/>
    </xf>
    <xf numFmtId="2" fontId="164" fillId="51" borderId="58" xfId="4" applyNumberFormat="1" applyFont="1" applyFill="1" applyBorder="1" applyAlignment="1" applyProtection="1">
      <alignment horizontal="center" vertical="center"/>
      <protection hidden="1"/>
    </xf>
    <xf numFmtId="2" fontId="164" fillId="51" borderId="59" xfId="4" applyNumberFormat="1" applyFont="1" applyFill="1" applyBorder="1" applyAlignment="1" applyProtection="1">
      <alignment horizontal="center" vertical="center"/>
      <protection hidden="1"/>
    </xf>
    <xf numFmtId="2" fontId="164" fillId="51" borderId="61" xfId="4" applyNumberFormat="1" applyFont="1" applyFill="1" applyBorder="1" applyAlignment="1" applyProtection="1">
      <alignment horizontal="center" vertical="center"/>
      <protection hidden="1"/>
    </xf>
    <xf numFmtId="0" fontId="76" fillId="0" borderId="29" xfId="4" applyFont="1" applyBorder="1" applyAlignment="1" applyProtection="1">
      <alignment horizontal="left"/>
      <protection hidden="1"/>
    </xf>
    <xf numFmtId="0" fontId="76" fillId="0" borderId="37" xfId="4" applyFont="1" applyBorder="1" applyAlignment="1" applyProtection="1">
      <alignment horizontal="left" vertical="center"/>
      <protection hidden="1"/>
    </xf>
    <xf numFmtId="0" fontId="79" fillId="0" borderId="29" xfId="4" applyFont="1" applyBorder="1" applyAlignment="1" applyProtection="1">
      <alignment horizontal="left" vertical="top" wrapText="1"/>
      <protection hidden="1"/>
    </xf>
    <xf numFmtId="0" fontId="85" fillId="0" borderId="30" xfId="4" applyFont="1" applyBorder="1" applyAlignment="1" applyProtection="1">
      <alignment horizontal="right"/>
      <protection hidden="1"/>
    </xf>
    <xf numFmtId="0" fontId="85" fillId="0" borderId="31" xfId="4" applyFont="1" applyBorder="1" applyAlignment="1" applyProtection="1">
      <alignment horizontal="right"/>
      <protection hidden="1"/>
    </xf>
    <xf numFmtId="0" fontId="85" fillId="0" borderId="32" xfId="4" applyFont="1" applyBorder="1" applyAlignment="1" applyProtection="1">
      <alignment horizontal="right"/>
      <protection hidden="1"/>
    </xf>
    <xf numFmtId="0" fontId="14" fillId="0" borderId="29" xfId="4" applyFont="1" applyBorder="1" applyAlignment="1" applyProtection="1">
      <alignment horizontal="left"/>
      <protection locked="0"/>
    </xf>
    <xf numFmtId="0" fontId="76" fillId="0" borderId="29" xfId="4" applyFont="1" applyBorder="1" applyAlignment="1" applyProtection="1">
      <alignment horizontal="center" vertical="center" wrapText="1"/>
      <protection hidden="1"/>
    </xf>
    <xf numFmtId="0" fontId="84" fillId="0" borderId="29" xfId="4" applyFont="1" applyBorder="1" applyAlignment="1" applyProtection="1">
      <alignment horizontal="center" vertical="center" wrapText="1"/>
      <protection hidden="1"/>
    </xf>
    <xf numFmtId="0" fontId="68" fillId="0" borderId="29" xfId="4" applyFont="1" applyBorder="1" applyAlignment="1" applyProtection="1">
      <alignment horizontal="center" vertical="center" wrapText="1"/>
      <protection locked="0"/>
    </xf>
    <xf numFmtId="1" fontId="64" fillId="0" borderId="29" xfId="4" applyNumberFormat="1" applyFont="1" applyBorder="1" applyAlignment="1" applyProtection="1">
      <alignment horizontal="center"/>
      <protection hidden="1"/>
    </xf>
    <xf numFmtId="1" fontId="64" fillId="0" borderId="29" xfId="4" applyNumberFormat="1" applyFont="1" applyBorder="1" applyAlignment="1" applyProtection="1">
      <alignment horizontal="center"/>
      <protection locked="0"/>
    </xf>
    <xf numFmtId="2" fontId="70" fillId="0" borderId="0" xfId="4" applyNumberFormat="1" applyFont="1" applyBorder="1" applyAlignment="1" applyProtection="1">
      <alignment horizontal="center" vertical="center"/>
      <protection hidden="1"/>
    </xf>
    <xf numFmtId="0" fontId="161" fillId="50" borderId="56" xfId="0" applyFont="1" applyFill="1" applyBorder="1" applyAlignment="1" applyProtection="1">
      <alignment horizontal="center" vertical="center" wrapText="1"/>
      <protection hidden="1"/>
    </xf>
    <xf numFmtId="0" fontId="161" fillId="50" borderId="57" xfId="0" applyFont="1" applyFill="1" applyBorder="1" applyAlignment="1" applyProtection="1">
      <alignment horizontal="center" vertical="center" wrapText="1"/>
      <protection hidden="1"/>
    </xf>
    <xf numFmtId="0" fontId="161" fillId="50" borderId="58" xfId="0" applyFont="1" applyFill="1" applyBorder="1" applyAlignment="1" applyProtection="1">
      <alignment horizontal="center" vertical="center" wrapText="1"/>
      <protection hidden="1"/>
    </xf>
    <xf numFmtId="0" fontId="161" fillId="50" borderId="62" xfId="0" applyFont="1" applyFill="1" applyBorder="1" applyAlignment="1" applyProtection="1">
      <alignment horizontal="center" vertical="center" wrapText="1"/>
      <protection hidden="1"/>
    </xf>
    <xf numFmtId="0" fontId="161" fillId="50" borderId="0" xfId="0" applyFont="1" applyFill="1" applyBorder="1" applyAlignment="1" applyProtection="1">
      <alignment horizontal="center" vertical="center" wrapText="1"/>
      <protection hidden="1"/>
    </xf>
    <xf numFmtId="0" fontId="161" fillId="50" borderId="63" xfId="0" applyFont="1" applyFill="1" applyBorder="1" applyAlignment="1" applyProtection="1">
      <alignment horizontal="center" vertical="center" wrapText="1"/>
      <protection hidden="1"/>
    </xf>
    <xf numFmtId="0" fontId="161" fillId="50" borderId="59" xfId="0" applyFont="1" applyFill="1" applyBorder="1" applyAlignment="1" applyProtection="1">
      <alignment horizontal="center" vertical="center" wrapText="1"/>
      <protection hidden="1"/>
    </xf>
    <xf numFmtId="0" fontId="161" fillId="50" borderId="60" xfId="0" applyFont="1" applyFill="1" applyBorder="1" applyAlignment="1" applyProtection="1">
      <alignment horizontal="center" vertical="center" wrapText="1"/>
      <protection hidden="1"/>
    </xf>
    <xf numFmtId="0" fontId="161" fillId="50" borderId="61" xfId="0" applyFont="1" applyFill="1" applyBorder="1" applyAlignment="1" applyProtection="1">
      <alignment horizontal="center" vertical="center" wrapText="1"/>
      <protection hidden="1"/>
    </xf>
    <xf numFmtId="2" fontId="76" fillId="0" borderId="29" xfId="0" applyNumberFormat="1" applyFont="1" applyBorder="1" applyAlignment="1" applyProtection="1">
      <alignment horizontal="left"/>
      <protection hidden="1"/>
    </xf>
    <xf numFmtId="0" fontId="113" fillId="0" borderId="29" xfId="4" applyFont="1" applyBorder="1" applyAlignment="1" applyProtection="1">
      <alignment horizontal="center"/>
      <protection hidden="1"/>
    </xf>
    <xf numFmtId="0" fontId="79" fillId="0" borderId="29" xfId="4" applyFont="1" applyBorder="1" applyAlignment="1" applyProtection="1">
      <alignment horizontal="left" vertical="center" wrapText="1"/>
      <protection hidden="1"/>
    </xf>
    <xf numFmtId="0" fontId="87" fillId="0" borderId="29" xfId="4" applyFont="1" applyBorder="1" applyAlignment="1" applyProtection="1">
      <alignment horizontal="right" vertical="center"/>
      <protection hidden="1"/>
    </xf>
    <xf numFmtId="0" fontId="76" fillId="0" borderId="84" xfId="4" applyFont="1" applyBorder="1" applyAlignment="1" applyProtection="1">
      <alignment horizontal="center" vertical="center" wrapText="1"/>
      <protection hidden="1"/>
    </xf>
    <xf numFmtId="0" fontId="76" fillId="0" borderId="85" xfId="4" applyFont="1" applyBorder="1" applyAlignment="1" applyProtection="1">
      <alignment horizontal="center" vertical="center" wrapText="1"/>
      <protection hidden="1"/>
    </xf>
    <xf numFmtId="0" fontId="76" fillId="0" borderId="86" xfId="4" applyFont="1" applyBorder="1" applyAlignment="1" applyProtection="1">
      <alignment horizontal="center" vertical="center" wrapText="1"/>
      <protection hidden="1"/>
    </xf>
    <xf numFmtId="0" fontId="76" fillId="0" borderId="87" xfId="4" applyFont="1" applyBorder="1" applyAlignment="1" applyProtection="1">
      <alignment horizontal="center" vertical="center" wrapText="1"/>
      <protection hidden="1"/>
    </xf>
    <xf numFmtId="1" fontId="64" fillId="0" borderId="31" xfId="4" applyNumberFormat="1" applyFont="1" applyBorder="1" applyAlignment="1" applyProtection="1">
      <alignment horizontal="center"/>
      <protection hidden="1"/>
    </xf>
    <xf numFmtId="1" fontId="64" fillId="0" borderId="32" xfId="4" applyNumberFormat="1" applyFont="1" applyBorder="1" applyAlignment="1" applyProtection="1">
      <alignment horizontal="center"/>
      <protection hidden="1"/>
    </xf>
    <xf numFmtId="0" fontId="71" fillId="0" borderId="29" xfId="4" applyFont="1" applyBorder="1" applyAlignment="1" applyProtection="1">
      <alignment horizontal="center"/>
      <protection hidden="1"/>
    </xf>
    <xf numFmtId="0" fontId="178" fillId="0" borderId="52" xfId="0" applyFont="1" applyBorder="1" applyAlignment="1" applyProtection="1">
      <alignment horizontal="center" vertical="center" wrapText="1"/>
      <protection hidden="1"/>
    </xf>
    <xf numFmtId="0" fontId="178" fillId="0" borderId="49" xfId="0" applyFont="1" applyBorder="1" applyAlignment="1" applyProtection="1">
      <alignment horizontal="center" vertical="center" wrapText="1"/>
      <protection hidden="1"/>
    </xf>
    <xf numFmtId="168" fontId="140" fillId="11" borderId="66" xfId="0" applyNumberFormat="1" applyFont="1" applyFill="1" applyBorder="1" applyAlignment="1" applyProtection="1">
      <alignment horizontal="center" vertical="center" wrapText="1"/>
      <protection hidden="1"/>
    </xf>
    <xf numFmtId="168" fontId="140" fillId="11" borderId="67" xfId="0" applyNumberFormat="1" applyFont="1" applyFill="1" applyBorder="1" applyAlignment="1" applyProtection="1">
      <alignment horizontal="center" vertical="center" wrapText="1"/>
      <protection hidden="1"/>
    </xf>
    <xf numFmtId="168" fontId="140" fillId="11" borderId="70" xfId="0" applyNumberFormat="1" applyFont="1" applyFill="1" applyBorder="1" applyAlignment="1" applyProtection="1">
      <alignment horizontal="center" vertical="center" wrapText="1"/>
      <protection hidden="1"/>
    </xf>
    <xf numFmtId="168" fontId="140" fillId="11" borderId="71" xfId="0" applyNumberFormat="1" applyFont="1" applyFill="1" applyBorder="1" applyAlignment="1" applyProtection="1">
      <alignment horizontal="center" vertical="center" wrapText="1"/>
      <protection hidden="1"/>
    </xf>
    <xf numFmtId="168" fontId="140" fillId="0" borderId="48" xfId="0" applyNumberFormat="1" applyFont="1" applyFill="1" applyBorder="1" applyAlignment="1" applyProtection="1">
      <alignment horizontal="right" vertical="center" wrapText="1"/>
      <protection hidden="1"/>
    </xf>
    <xf numFmtId="0" fontId="146" fillId="0" borderId="0" xfId="0" applyFont="1" applyBorder="1" applyAlignment="1" applyProtection="1">
      <alignment horizontal="center" vertical="center" wrapText="1"/>
      <protection hidden="1"/>
    </xf>
    <xf numFmtId="0" fontId="148" fillId="0" borderId="0" xfId="0" applyFont="1" applyBorder="1" applyAlignment="1" applyProtection="1">
      <alignment horizontal="center" vertical="center" wrapText="1"/>
      <protection hidden="1"/>
    </xf>
    <xf numFmtId="0" fontId="147" fillId="0" borderId="0" xfId="0" applyFont="1" applyBorder="1" applyAlignment="1" applyProtection="1">
      <alignment horizontal="center" vertical="center" wrapText="1"/>
      <protection hidden="1"/>
    </xf>
    <xf numFmtId="0" fontId="138" fillId="49" borderId="55" xfId="0" applyFont="1" applyFill="1" applyBorder="1" applyAlignment="1" applyProtection="1">
      <alignment horizontal="center" vertical="center" wrapText="1"/>
      <protection hidden="1"/>
    </xf>
    <xf numFmtId="168" fontId="141" fillId="11" borderId="66" xfId="0" applyNumberFormat="1" applyFont="1" applyFill="1" applyBorder="1" applyAlignment="1" applyProtection="1">
      <alignment horizontal="center" vertical="center" wrapText="1"/>
      <protection hidden="1"/>
    </xf>
    <xf numFmtId="168" fontId="141" fillId="11" borderId="67" xfId="0" applyNumberFormat="1" applyFont="1" applyFill="1" applyBorder="1" applyAlignment="1" applyProtection="1">
      <alignment horizontal="center" vertical="center" wrapText="1"/>
      <protection hidden="1"/>
    </xf>
    <xf numFmtId="168" fontId="141" fillId="11" borderId="68" xfId="0" applyNumberFormat="1" applyFont="1" applyFill="1" applyBorder="1" applyAlignment="1" applyProtection="1">
      <alignment horizontal="center" vertical="center" wrapText="1"/>
      <protection hidden="1"/>
    </xf>
    <xf numFmtId="168" fontId="141" fillId="11" borderId="69" xfId="0" applyNumberFormat="1" applyFont="1" applyFill="1" applyBorder="1" applyAlignment="1" applyProtection="1">
      <alignment horizontal="center" vertical="center" wrapText="1"/>
      <protection hidden="1"/>
    </xf>
    <xf numFmtId="168" fontId="141" fillId="11" borderId="70" xfId="0" applyNumberFormat="1" applyFont="1" applyFill="1" applyBorder="1" applyAlignment="1" applyProtection="1">
      <alignment horizontal="center" vertical="center" wrapText="1"/>
      <protection hidden="1"/>
    </xf>
    <xf numFmtId="168" fontId="141" fillId="11" borderId="71" xfId="0" applyNumberFormat="1" applyFont="1" applyFill="1" applyBorder="1" applyAlignment="1" applyProtection="1">
      <alignment horizontal="center" vertical="center" wrapText="1"/>
      <protection hidden="1"/>
    </xf>
    <xf numFmtId="0" fontId="154" fillId="0" borderId="52" xfId="0" applyFont="1" applyBorder="1" applyAlignment="1" applyProtection="1">
      <alignment horizontal="left" vertical="center" wrapText="1"/>
      <protection hidden="1"/>
    </xf>
    <xf numFmtId="0" fontId="154" fillId="0" borderId="77" xfId="0" applyFont="1" applyBorder="1" applyAlignment="1" applyProtection="1">
      <alignment horizontal="left" vertical="center" wrapText="1"/>
      <protection hidden="1"/>
    </xf>
    <xf numFmtId="0" fontId="154" fillId="0" borderId="49" xfId="0" applyFont="1" applyBorder="1" applyAlignment="1" applyProtection="1">
      <alignment horizontal="left" vertical="center" wrapText="1"/>
      <protection hidden="1"/>
    </xf>
    <xf numFmtId="3" fontId="138" fillId="38" borderId="55" xfId="0" applyNumberFormat="1" applyFont="1" applyFill="1" applyBorder="1" applyAlignment="1" applyProtection="1">
      <alignment horizontal="center" vertical="center" wrapText="1"/>
      <protection locked="0"/>
    </xf>
    <xf numFmtId="0" fontId="138" fillId="38" borderId="55" xfId="0" applyFont="1" applyFill="1" applyBorder="1" applyAlignment="1" applyProtection="1">
      <alignment horizontal="center" vertical="center" wrapText="1"/>
      <protection locked="0"/>
    </xf>
    <xf numFmtId="0" fontId="135" fillId="0" borderId="55" xfId="0" applyFont="1" applyBorder="1" applyAlignment="1" applyProtection="1">
      <alignment horizontal="center" vertical="center" wrapText="1"/>
      <protection hidden="1"/>
    </xf>
    <xf numFmtId="0" fontId="135" fillId="0" borderId="55" xfId="0" applyFont="1" applyFill="1" applyBorder="1" applyAlignment="1" applyProtection="1">
      <alignment horizontal="center" vertical="center" wrapText="1"/>
      <protection hidden="1"/>
    </xf>
    <xf numFmtId="0" fontId="137" fillId="38" borderId="56" xfId="0" applyFont="1" applyFill="1" applyBorder="1" applyAlignment="1" applyProtection="1">
      <alignment horizontal="center" vertical="center" wrapText="1"/>
      <protection hidden="1"/>
    </xf>
    <xf numFmtId="0" fontId="137" fillId="38" borderId="57" xfId="0" applyFont="1" applyFill="1" applyBorder="1" applyAlignment="1" applyProtection="1">
      <alignment horizontal="center" vertical="center" wrapText="1"/>
      <protection hidden="1"/>
    </xf>
    <xf numFmtId="0" fontId="137" fillId="38" borderId="58" xfId="0" applyFont="1" applyFill="1" applyBorder="1" applyAlignment="1" applyProtection="1">
      <alignment horizontal="center" vertical="center" wrapText="1"/>
      <protection hidden="1"/>
    </xf>
    <xf numFmtId="0" fontId="147" fillId="0" borderId="55" xfId="0" applyFont="1" applyBorder="1" applyAlignment="1" applyProtection="1">
      <alignment horizontal="center" vertical="center" wrapText="1"/>
      <protection hidden="1"/>
    </xf>
    <xf numFmtId="0" fontId="137" fillId="38" borderId="59" xfId="0" applyFont="1" applyFill="1" applyBorder="1" applyAlignment="1" applyProtection="1">
      <alignment horizontal="center" vertical="center" wrapText="1"/>
      <protection locked="0"/>
    </xf>
    <xf numFmtId="0" fontId="137" fillId="38" borderId="60" xfId="0" applyFont="1" applyFill="1" applyBorder="1" applyAlignment="1" applyProtection="1">
      <alignment horizontal="center" vertical="center" wrapText="1"/>
      <protection locked="0"/>
    </xf>
    <xf numFmtId="0" fontId="137" fillId="38" borderId="61" xfId="0" applyFont="1" applyFill="1" applyBorder="1" applyAlignment="1" applyProtection="1">
      <alignment horizontal="center" vertical="center" wrapText="1"/>
      <protection locked="0"/>
    </xf>
    <xf numFmtId="0" fontId="136" fillId="0" borderId="55" xfId="0" applyFont="1" applyFill="1" applyBorder="1" applyAlignment="1" applyProtection="1">
      <alignment horizontal="center" vertical="center" wrapText="1"/>
      <protection hidden="1"/>
    </xf>
    <xf numFmtId="0" fontId="102" fillId="0" borderId="55" xfId="0" applyFont="1" applyBorder="1" applyAlignment="1" applyProtection="1">
      <alignment horizontal="center" vertical="center" wrapText="1"/>
      <protection hidden="1"/>
    </xf>
    <xf numFmtId="0" fontId="140" fillId="0" borderId="55" xfId="0" applyFont="1" applyFill="1" applyBorder="1" applyAlignment="1" applyProtection="1">
      <alignment horizontal="center" vertical="center" wrapText="1"/>
      <protection hidden="1"/>
    </xf>
    <xf numFmtId="0" fontId="136" fillId="0" borderId="55" xfId="0" applyFont="1" applyBorder="1" applyAlignment="1" applyProtection="1">
      <alignment horizontal="center" vertical="center" wrapText="1"/>
      <protection hidden="1"/>
    </xf>
    <xf numFmtId="49" fontId="139" fillId="0" borderId="55" xfId="0" applyNumberFormat="1" applyFont="1" applyFill="1" applyBorder="1" applyAlignment="1" applyProtection="1">
      <alignment horizontal="center" vertical="center" wrapText="1"/>
      <protection locked="0"/>
    </xf>
    <xf numFmtId="167" fontId="140" fillId="0" borderId="55" xfId="0" applyNumberFormat="1" applyFont="1" applyFill="1" applyBorder="1" applyAlignment="1" applyProtection="1">
      <alignment horizontal="center" vertical="center" wrapText="1"/>
      <protection hidden="1"/>
    </xf>
    <xf numFmtId="167" fontId="136" fillId="0" borderId="55" xfId="0" applyNumberFormat="1" applyFont="1" applyBorder="1" applyAlignment="1" applyProtection="1">
      <alignment horizontal="center" vertical="center" wrapText="1"/>
      <protection hidden="1"/>
    </xf>
    <xf numFmtId="0" fontId="135" fillId="47" borderId="55" xfId="0" applyFont="1" applyFill="1" applyBorder="1" applyAlignment="1" applyProtection="1">
      <alignment horizontal="center" vertical="center" wrapText="1"/>
      <protection locked="0"/>
    </xf>
    <xf numFmtId="49" fontId="138" fillId="0" borderId="55" xfId="0" applyNumberFormat="1" applyFont="1" applyBorder="1" applyAlignment="1" applyProtection="1">
      <alignment horizontal="center" vertical="center" wrapText="1"/>
      <protection locked="0"/>
    </xf>
    <xf numFmtId="49" fontId="135" fillId="0" borderId="55" xfId="0" applyNumberFormat="1" applyFont="1" applyBorder="1" applyAlignment="1" applyProtection="1">
      <alignment horizontal="center" vertical="center" wrapText="1"/>
      <protection locked="0"/>
    </xf>
    <xf numFmtId="167" fontId="135" fillId="0" borderId="55" xfId="0" applyNumberFormat="1" applyFont="1" applyBorder="1" applyAlignment="1" applyProtection="1">
      <alignment horizontal="center" vertical="center" wrapText="1"/>
      <protection hidden="1"/>
    </xf>
    <xf numFmtId="167" fontId="139" fillId="0" borderId="44" xfId="0" applyNumberFormat="1" applyFont="1" applyBorder="1" applyAlignment="1" applyProtection="1">
      <alignment horizontal="center" vertical="center" wrapText="1"/>
      <protection hidden="1"/>
    </xf>
    <xf numFmtId="49" fontId="139" fillId="0" borderId="44" xfId="0" applyNumberFormat="1" applyFont="1" applyBorder="1" applyAlignment="1" applyProtection="1">
      <alignment horizontal="center" vertical="center" wrapText="1"/>
      <protection locked="0"/>
    </xf>
    <xf numFmtId="0" fontId="139" fillId="0" borderId="44" xfId="0" applyNumberFormat="1" applyFont="1" applyBorder="1" applyAlignment="1" applyProtection="1">
      <alignment horizontal="center" vertical="center" wrapText="1"/>
      <protection hidden="1"/>
    </xf>
    <xf numFmtId="0" fontId="138" fillId="0" borderId="56" xfId="0" applyFont="1" applyFill="1" applyBorder="1" applyAlignment="1" applyProtection="1">
      <alignment horizontal="center" vertical="center" wrapText="1"/>
      <protection hidden="1"/>
    </xf>
    <xf numFmtId="0" fontId="138" fillId="0" borderId="57" xfId="0" applyFont="1" applyFill="1" applyBorder="1" applyAlignment="1" applyProtection="1">
      <alignment horizontal="center" vertical="center" wrapText="1"/>
      <protection hidden="1"/>
    </xf>
    <xf numFmtId="0" fontId="138" fillId="0" borderId="58" xfId="0" applyFont="1" applyFill="1" applyBorder="1" applyAlignment="1" applyProtection="1">
      <alignment horizontal="center" vertical="center" wrapText="1"/>
      <protection hidden="1"/>
    </xf>
    <xf numFmtId="0" fontId="138" fillId="0" borderId="62" xfId="0" applyFont="1" applyFill="1" applyBorder="1" applyAlignment="1" applyProtection="1">
      <alignment horizontal="center" vertical="center" wrapText="1"/>
      <protection hidden="1"/>
    </xf>
    <xf numFmtId="0" fontId="138" fillId="0" borderId="0" xfId="0" applyFont="1" applyFill="1" applyBorder="1" applyAlignment="1" applyProtection="1">
      <alignment horizontal="center" vertical="center" wrapText="1"/>
      <protection hidden="1"/>
    </xf>
    <xf numFmtId="0" fontId="138" fillId="0" borderId="63" xfId="0" applyFont="1" applyFill="1" applyBorder="1" applyAlignment="1" applyProtection="1">
      <alignment horizontal="center" vertical="center" wrapText="1"/>
      <protection hidden="1"/>
    </xf>
    <xf numFmtId="0" fontId="137" fillId="49" borderId="44" xfId="0" applyFont="1" applyFill="1" applyBorder="1" applyAlignment="1" applyProtection="1">
      <alignment horizontal="center" vertical="center" wrapText="1"/>
      <protection hidden="1"/>
    </xf>
    <xf numFmtId="0" fontId="135" fillId="49" borderId="44" xfId="0" applyFont="1" applyFill="1" applyBorder="1" applyAlignment="1" applyProtection="1">
      <alignment horizontal="center" vertical="center" wrapText="1"/>
      <protection hidden="1"/>
    </xf>
    <xf numFmtId="49" fontId="139" fillId="0" borderId="44" xfId="0" applyNumberFormat="1" applyFont="1" applyBorder="1" applyAlignment="1" applyProtection="1">
      <alignment horizontal="center" vertical="center" wrapText="1"/>
      <protection hidden="1"/>
    </xf>
    <xf numFmtId="0" fontId="141" fillId="49" borderId="64" xfId="0" applyFont="1" applyFill="1" applyBorder="1" applyAlignment="1" applyProtection="1">
      <alignment horizontal="center" vertical="center" wrapText="1"/>
      <protection hidden="1"/>
    </xf>
    <xf numFmtId="0" fontId="139" fillId="0" borderId="64" xfId="0" applyFont="1" applyBorder="1" applyAlignment="1" applyProtection="1">
      <alignment horizontal="center" vertical="center" wrapText="1"/>
      <protection locked="0"/>
    </xf>
    <xf numFmtId="49" fontId="139" fillId="0" borderId="64" xfId="0" applyNumberFormat="1" applyFont="1" applyBorder="1" applyAlignment="1" applyProtection="1">
      <alignment horizontal="center" vertical="center" wrapText="1"/>
      <protection locked="0"/>
    </xf>
    <xf numFmtId="0" fontId="0" fillId="0" borderId="64" xfId="0" applyBorder="1" applyAlignment="1" applyProtection="1">
      <alignment horizontal="center"/>
      <protection locked="0"/>
    </xf>
    <xf numFmtId="49" fontId="144" fillId="0" borderId="64" xfId="0" applyNumberFormat="1" applyFont="1" applyBorder="1" applyAlignment="1" applyProtection="1">
      <alignment horizontal="center"/>
      <protection locked="0"/>
    </xf>
    <xf numFmtId="0" fontId="0" fillId="0" borderId="64" xfId="0" applyBorder="1" applyAlignment="1" applyProtection="1">
      <alignment horizontal="center"/>
      <protection hidden="1"/>
    </xf>
    <xf numFmtId="167" fontId="137" fillId="0" borderId="44" xfId="0" applyNumberFormat="1" applyFont="1" applyBorder="1" applyAlignment="1" applyProtection="1">
      <alignment horizontal="center" vertical="center" wrapText="1"/>
      <protection hidden="1"/>
    </xf>
    <xf numFmtId="0" fontId="137" fillId="0" borderId="44" xfId="0" applyFont="1" applyBorder="1" applyAlignment="1" applyProtection="1">
      <alignment horizontal="center" vertical="center" wrapText="1"/>
      <protection hidden="1"/>
    </xf>
    <xf numFmtId="0" fontId="135" fillId="0" borderId="44" xfId="0" applyFont="1" applyFill="1" applyBorder="1" applyAlignment="1" applyProtection="1">
      <alignment horizontal="center" vertical="center" wrapText="1"/>
      <protection hidden="1"/>
    </xf>
    <xf numFmtId="0" fontId="141" fillId="0" borderId="65" xfId="0" applyFont="1" applyFill="1" applyBorder="1" applyAlignment="1" applyProtection="1">
      <alignment horizontal="center" vertical="center" wrapText="1"/>
      <protection hidden="1"/>
    </xf>
    <xf numFmtId="0" fontId="137" fillId="49" borderId="64" xfId="0" applyFont="1" applyFill="1" applyBorder="1" applyAlignment="1" applyProtection="1">
      <alignment horizontal="center" vertical="center" wrapText="1"/>
      <protection hidden="1"/>
    </xf>
    <xf numFmtId="0" fontId="139" fillId="0" borderId="64" xfId="0" applyFont="1" applyBorder="1" applyAlignment="1" applyProtection="1">
      <alignment horizontal="center" vertical="center" wrapText="1"/>
      <protection hidden="1"/>
    </xf>
    <xf numFmtId="49" fontId="139" fillId="0" borderId="64" xfId="0" applyNumberFormat="1" applyFont="1" applyBorder="1" applyAlignment="1" applyProtection="1">
      <alignment horizontal="center" vertical="center" wrapText="1"/>
      <protection hidden="1"/>
    </xf>
    <xf numFmtId="49" fontId="144" fillId="0" borderId="64" xfId="0" applyNumberFormat="1" applyFont="1" applyBorder="1" applyAlignment="1" applyProtection="1">
      <alignment horizontal="center"/>
      <protection hidden="1"/>
    </xf>
    <xf numFmtId="0" fontId="137" fillId="0" borderId="0" xfId="0" applyFont="1" applyBorder="1" applyAlignment="1" applyProtection="1">
      <alignment horizontal="center" vertical="center" wrapText="1"/>
      <protection hidden="1"/>
    </xf>
    <xf numFmtId="0" fontId="102" fillId="0" borderId="0" xfId="0" applyFont="1" applyBorder="1" applyAlignment="1" applyProtection="1">
      <alignment horizontal="center" wrapText="1"/>
      <protection hidden="1"/>
    </xf>
    <xf numFmtId="0" fontId="136" fillId="0" borderId="0" xfId="0" applyFont="1" applyBorder="1" applyAlignment="1" applyProtection="1">
      <alignment horizontal="center" vertical="center" wrapText="1"/>
      <protection hidden="1"/>
    </xf>
    <xf numFmtId="0" fontId="136" fillId="47" borderId="0" xfId="0" applyFont="1" applyFill="1" applyBorder="1" applyAlignment="1" applyProtection="1">
      <alignment horizontal="center" vertical="center" wrapText="1"/>
      <protection locked="0"/>
    </xf>
    <xf numFmtId="0" fontId="152" fillId="0" borderId="0" xfId="0" applyFont="1" applyFill="1" applyBorder="1" applyAlignment="1" applyProtection="1">
      <alignment horizontal="left" vertical="center" wrapText="1"/>
      <protection hidden="1"/>
    </xf>
    <xf numFmtId="0" fontId="152" fillId="0" borderId="0" xfId="0" applyFont="1" applyBorder="1" applyAlignment="1" applyProtection="1">
      <alignment horizontal="center" vertical="center" wrapText="1"/>
      <protection hidden="1"/>
    </xf>
    <xf numFmtId="0" fontId="100" fillId="0" borderId="0" xfId="0" applyFont="1" applyFill="1" applyBorder="1" applyAlignment="1" applyProtection="1">
      <alignment horizontal="left" vertical="center" wrapText="1"/>
      <protection hidden="1"/>
    </xf>
    <xf numFmtId="0" fontId="137" fillId="0" borderId="64" xfId="0" applyFont="1" applyBorder="1" applyAlignment="1" applyProtection="1">
      <alignment horizontal="center" vertical="center" wrapText="1"/>
      <protection hidden="1"/>
    </xf>
    <xf numFmtId="0" fontId="121" fillId="0" borderId="0" xfId="0" applyFont="1" applyBorder="1" applyAlignment="1" applyProtection="1">
      <alignment horizontal="center" vertical="center" wrapText="1"/>
      <protection hidden="1"/>
    </xf>
    <xf numFmtId="14" fontId="135" fillId="19" borderId="0" xfId="0" applyNumberFormat="1" applyFont="1" applyFill="1" applyBorder="1" applyAlignment="1" applyProtection="1">
      <alignment horizontal="center" vertical="center" wrapText="1"/>
      <protection locked="0"/>
    </xf>
    <xf numFmtId="0" fontId="153" fillId="0" borderId="0" xfId="0" applyFont="1" applyBorder="1" applyAlignment="1" applyProtection="1">
      <alignment horizontal="center" vertical="center" wrapText="1"/>
      <protection hidden="1"/>
    </xf>
    <xf numFmtId="0" fontId="135" fillId="0" borderId="0" xfId="0" applyFont="1" applyBorder="1" applyAlignment="1" applyProtection="1">
      <alignment horizontal="center" vertical="center" wrapText="1"/>
      <protection hidden="1"/>
    </xf>
    <xf numFmtId="0" fontId="136" fillId="0" borderId="0" xfId="0" applyFont="1" applyBorder="1" applyAlignment="1" applyProtection="1">
      <alignment horizontal="left" vertical="center" wrapText="1"/>
      <protection hidden="1"/>
    </xf>
    <xf numFmtId="0" fontId="100" fillId="0" borderId="0" xfId="0" applyFont="1" applyFill="1" applyBorder="1" applyAlignment="1" applyProtection="1">
      <alignment horizontal="center" vertical="center" wrapText="1"/>
      <protection hidden="1"/>
    </xf>
    <xf numFmtId="0" fontId="152" fillId="0" borderId="0" xfId="0" applyFont="1" applyBorder="1" applyAlignment="1" applyProtection="1">
      <alignment horizontal="left" vertical="center" wrapText="1"/>
      <protection hidden="1"/>
    </xf>
    <xf numFmtId="0" fontId="152" fillId="0" borderId="0" xfId="0" applyFont="1" applyBorder="1" applyAlignment="1" applyProtection="1">
      <alignment horizontal="justify" vertical="center" wrapText="1"/>
      <protection hidden="1"/>
    </xf>
    <xf numFmtId="0" fontId="135" fillId="0" borderId="0" xfId="0" applyFont="1" applyFill="1" applyBorder="1" applyAlignment="1" applyProtection="1">
      <alignment horizontal="center" vertical="center" wrapText="1"/>
      <protection locked="0"/>
    </xf>
    <xf numFmtId="0" fontId="149" fillId="0" borderId="0" xfId="0" applyFont="1" applyBorder="1" applyAlignment="1" applyProtection="1">
      <alignment horizontal="center" vertical="center" wrapText="1"/>
      <protection hidden="1"/>
    </xf>
    <xf numFmtId="0" fontId="135" fillId="0" borderId="48" xfId="0" applyFont="1" applyFill="1" applyBorder="1" applyAlignment="1" applyProtection="1">
      <alignment horizontal="center" vertical="center" wrapText="1"/>
      <protection hidden="1"/>
    </xf>
    <xf numFmtId="0" fontId="135" fillId="0" borderId="48" xfId="0" applyFont="1" applyBorder="1" applyAlignment="1" applyProtection="1">
      <alignment horizontal="left" vertical="center" wrapText="1"/>
      <protection hidden="1"/>
    </xf>
    <xf numFmtId="168" fontId="135" fillId="11" borderId="48" xfId="0" applyNumberFormat="1" applyFont="1" applyFill="1" applyBorder="1" applyAlignment="1" applyProtection="1">
      <alignment horizontal="center" vertical="center" wrapText="1"/>
      <protection hidden="1"/>
    </xf>
    <xf numFmtId="168" fontId="141" fillId="11" borderId="48" xfId="0" applyNumberFormat="1" applyFont="1" applyFill="1" applyBorder="1" applyAlignment="1" applyProtection="1">
      <alignment horizontal="right" vertical="center" wrapText="1"/>
      <protection hidden="1"/>
    </xf>
    <xf numFmtId="168" fontId="121" fillId="11" borderId="48" xfId="0" applyNumberFormat="1" applyFont="1" applyFill="1" applyBorder="1" applyAlignment="1" applyProtection="1">
      <alignment horizontal="right" vertical="center" wrapText="1"/>
      <protection hidden="1"/>
    </xf>
    <xf numFmtId="0" fontId="154" fillId="0" borderId="48" xfId="0" applyFont="1" applyBorder="1" applyAlignment="1" applyProtection="1">
      <alignment horizontal="left" vertical="center" wrapText="1"/>
      <protection hidden="1"/>
    </xf>
    <xf numFmtId="168" fontId="140" fillId="0" borderId="48" xfId="0" applyNumberFormat="1" applyFont="1" applyFill="1" applyBorder="1" applyAlignment="1" applyProtection="1">
      <alignment horizontal="right" vertical="center" wrapText="1"/>
      <protection locked="0"/>
    </xf>
    <xf numFmtId="168" fontId="141" fillId="0" borderId="48" xfId="0" applyNumberFormat="1" applyFont="1" applyFill="1" applyBorder="1" applyAlignment="1" applyProtection="1">
      <alignment horizontal="right" vertical="center" wrapText="1"/>
      <protection hidden="1"/>
    </xf>
    <xf numFmtId="168" fontId="140" fillId="48" borderId="48" xfId="0" applyNumberFormat="1" applyFont="1" applyFill="1" applyBorder="1" applyAlignment="1" applyProtection="1">
      <alignment horizontal="right" vertical="center" wrapText="1"/>
      <protection locked="0"/>
    </xf>
    <xf numFmtId="0" fontId="138" fillId="0" borderId="48" xfId="0" applyFont="1" applyBorder="1" applyAlignment="1" applyProtection="1">
      <alignment horizontal="left" vertical="center" wrapText="1"/>
      <protection hidden="1"/>
    </xf>
    <xf numFmtId="168" fontId="141" fillId="11" borderId="48" xfId="0" applyNumberFormat="1" applyFont="1" applyFill="1" applyBorder="1" applyAlignment="1" applyProtection="1">
      <alignment horizontal="center" vertical="center" wrapText="1"/>
      <protection hidden="1"/>
    </xf>
    <xf numFmtId="168" fontId="140" fillId="11" borderId="48" xfId="0" applyNumberFormat="1" applyFont="1" applyFill="1" applyBorder="1" applyAlignment="1" applyProtection="1">
      <alignment horizontal="right" vertical="center" wrapText="1"/>
      <protection hidden="1"/>
    </xf>
    <xf numFmtId="0" fontId="155" fillId="0" borderId="48" xfId="0" applyFont="1" applyBorder="1" applyAlignment="1" applyProtection="1">
      <alignment horizontal="center" vertical="center" wrapText="1"/>
      <protection hidden="1"/>
    </xf>
    <xf numFmtId="0" fontId="136" fillId="0" borderId="48" xfId="0" applyFont="1" applyBorder="1" applyAlignment="1" applyProtection="1">
      <alignment horizontal="right" vertical="center" wrapText="1"/>
      <protection hidden="1"/>
    </xf>
    <xf numFmtId="168" fontId="140" fillId="11" borderId="48" xfId="0" applyNumberFormat="1" applyFont="1" applyFill="1" applyBorder="1" applyAlignment="1" applyProtection="1">
      <alignment horizontal="center" vertical="center" wrapText="1"/>
      <protection hidden="1"/>
    </xf>
    <xf numFmtId="168" fontId="140" fillId="48" borderId="48" xfId="0" applyNumberFormat="1" applyFont="1" applyFill="1" applyBorder="1" applyAlignment="1" applyProtection="1">
      <alignment horizontal="right" vertical="center" wrapText="1"/>
      <protection hidden="1"/>
    </xf>
    <xf numFmtId="0" fontId="156" fillId="0" borderId="48" xfId="0" applyFont="1" applyBorder="1" applyAlignment="1" applyProtection="1">
      <alignment horizontal="left" vertical="center" wrapText="1"/>
      <protection hidden="1"/>
    </xf>
    <xf numFmtId="168" fontId="135" fillId="0" borderId="48" xfId="0" applyNumberFormat="1" applyFont="1" applyFill="1" applyBorder="1" applyAlignment="1" applyProtection="1">
      <alignment horizontal="right" vertical="center" wrapText="1"/>
      <protection hidden="1"/>
    </xf>
    <xf numFmtId="0" fontId="152" fillId="0" borderId="48" xfId="0" applyFont="1" applyFill="1" applyBorder="1" applyAlignment="1" applyProtection="1">
      <alignment horizontal="left" vertical="center" wrapText="1"/>
      <protection hidden="1"/>
    </xf>
    <xf numFmtId="0" fontId="102" fillId="49" borderId="48" xfId="0" applyFont="1" applyFill="1" applyBorder="1" applyAlignment="1" applyProtection="1">
      <alignment horizontal="left" vertical="center" wrapText="1"/>
      <protection hidden="1"/>
    </xf>
    <xf numFmtId="0" fontId="102" fillId="49" borderId="48" xfId="0" applyFont="1" applyFill="1" applyBorder="1" applyAlignment="1" applyProtection="1">
      <alignment horizontal="center" vertical="center" wrapText="1"/>
      <protection hidden="1"/>
    </xf>
    <xf numFmtId="0" fontId="135" fillId="49" borderId="48" xfId="0" applyFont="1" applyFill="1" applyBorder="1" applyAlignment="1" applyProtection="1">
      <alignment horizontal="center" vertical="center" wrapText="1"/>
      <protection hidden="1"/>
    </xf>
    <xf numFmtId="0" fontId="152" fillId="0" borderId="48" xfId="0" applyFont="1" applyBorder="1" applyAlignment="1" applyProtection="1">
      <alignment horizontal="center" vertical="center" wrapText="1"/>
      <protection hidden="1"/>
    </xf>
    <xf numFmtId="0" fontId="154" fillId="0" borderId="48" xfId="0" applyFont="1" applyBorder="1" applyAlignment="1" applyProtection="1">
      <alignment horizontal="center" vertical="center" wrapText="1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140" fillId="0" borderId="48" xfId="0" applyFont="1" applyBorder="1" applyAlignment="1" applyProtection="1">
      <alignment horizontal="center" vertical="center" wrapText="1"/>
      <protection hidden="1"/>
    </xf>
    <xf numFmtId="0" fontId="157" fillId="0" borderId="48" xfId="0" applyFont="1" applyBorder="1" applyAlignment="1" applyProtection="1">
      <alignment horizontal="left" vertical="center"/>
      <protection hidden="1"/>
    </xf>
    <xf numFmtId="168" fontId="139" fillId="0" borderId="48" xfId="0" applyNumberFormat="1" applyFont="1" applyFill="1" applyBorder="1" applyAlignment="1" applyProtection="1">
      <alignment horizontal="center" vertical="center" wrapText="1"/>
      <protection hidden="1"/>
    </xf>
    <xf numFmtId="0" fontId="176" fillId="0" borderId="48" xfId="0" applyFont="1" applyBorder="1" applyAlignment="1" applyProtection="1">
      <alignment horizontal="left" vertical="center"/>
      <protection hidden="1"/>
    </xf>
    <xf numFmtId="168" fontId="140" fillId="19" borderId="48" xfId="0" applyNumberFormat="1" applyFont="1" applyFill="1" applyBorder="1" applyAlignment="1" applyProtection="1">
      <alignment horizontal="center" vertical="center" wrapText="1"/>
      <protection hidden="1"/>
    </xf>
    <xf numFmtId="0" fontId="99" fillId="0" borderId="48" xfId="0" applyFont="1" applyBorder="1" applyAlignment="1" applyProtection="1">
      <alignment horizontal="center" vertical="center"/>
      <protection hidden="1"/>
    </xf>
    <xf numFmtId="168" fontId="137" fillId="0" borderId="48" xfId="0" applyNumberFormat="1" applyFont="1" applyFill="1" applyBorder="1" applyAlignment="1" applyProtection="1">
      <alignment horizontal="right" vertical="center" wrapText="1"/>
      <protection hidden="1"/>
    </xf>
    <xf numFmtId="168" fontId="141" fillId="0" borderId="48" xfId="0" applyNumberFormat="1" applyFont="1" applyFill="1" applyBorder="1" applyAlignment="1" applyProtection="1">
      <alignment horizontal="center" vertical="center" wrapText="1"/>
      <protection hidden="1"/>
    </xf>
    <xf numFmtId="168" fontId="83" fillId="19" borderId="66" xfId="0" applyNumberFormat="1" applyFont="1" applyFill="1" applyBorder="1" applyAlignment="1" applyProtection="1">
      <alignment horizontal="center" vertical="center" wrapText="1"/>
      <protection hidden="1"/>
    </xf>
    <xf numFmtId="168" fontId="83" fillId="19" borderId="67" xfId="0" applyNumberFormat="1" applyFont="1" applyFill="1" applyBorder="1" applyAlignment="1" applyProtection="1">
      <alignment horizontal="center" vertical="center" wrapText="1"/>
      <protection hidden="1"/>
    </xf>
    <xf numFmtId="168" fontId="83" fillId="19" borderId="68" xfId="0" applyNumberFormat="1" applyFont="1" applyFill="1" applyBorder="1" applyAlignment="1" applyProtection="1">
      <alignment horizontal="center" vertical="center" wrapText="1"/>
      <protection hidden="1"/>
    </xf>
    <xf numFmtId="168" fontId="83" fillId="19" borderId="69" xfId="0" applyNumberFormat="1" applyFont="1" applyFill="1" applyBorder="1" applyAlignment="1" applyProtection="1">
      <alignment horizontal="center" vertical="center" wrapText="1"/>
      <protection hidden="1"/>
    </xf>
    <xf numFmtId="168" fontId="83" fillId="19" borderId="70" xfId="0" applyNumberFormat="1" applyFont="1" applyFill="1" applyBorder="1" applyAlignment="1" applyProtection="1">
      <alignment horizontal="center" vertical="center" wrapText="1"/>
      <protection hidden="1"/>
    </xf>
    <xf numFmtId="168" fontId="83" fillId="19" borderId="71" xfId="0" applyNumberFormat="1" applyFont="1" applyFill="1" applyBorder="1" applyAlignment="1" applyProtection="1">
      <alignment horizontal="center" vertical="center" wrapText="1"/>
      <protection hidden="1"/>
    </xf>
    <xf numFmtId="168" fontId="139" fillId="19" borderId="66" xfId="0" applyNumberFormat="1" applyFont="1" applyFill="1" applyBorder="1" applyAlignment="1" applyProtection="1">
      <alignment horizontal="center" vertical="center" wrapText="1"/>
      <protection hidden="1"/>
    </xf>
    <xf numFmtId="168" fontId="139" fillId="19" borderId="67" xfId="0" applyNumberFormat="1" applyFont="1" applyFill="1" applyBorder="1" applyAlignment="1" applyProtection="1">
      <alignment horizontal="center" vertical="center" wrapText="1"/>
      <protection hidden="1"/>
    </xf>
    <xf numFmtId="168" fontId="139" fillId="19" borderId="68" xfId="0" applyNumberFormat="1" applyFont="1" applyFill="1" applyBorder="1" applyAlignment="1" applyProtection="1">
      <alignment horizontal="center" vertical="center" wrapText="1"/>
      <protection hidden="1"/>
    </xf>
    <xf numFmtId="168" fontId="139" fillId="19" borderId="69" xfId="0" applyNumberFormat="1" applyFont="1" applyFill="1" applyBorder="1" applyAlignment="1" applyProtection="1">
      <alignment horizontal="center" vertical="center" wrapText="1"/>
      <protection hidden="1"/>
    </xf>
    <xf numFmtId="168" fontId="139" fillId="19" borderId="70" xfId="0" applyNumberFormat="1" applyFont="1" applyFill="1" applyBorder="1" applyAlignment="1" applyProtection="1">
      <alignment horizontal="center" vertical="center" wrapText="1"/>
      <protection hidden="1"/>
    </xf>
    <xf numFmtId="168" fontId="139" fillId="19" borderId="71" xfId="0" applyNumberFormat="1" applyFont="1" applyFill="1" applyBorder="1" applyAlignment="1" applyProtection="1">
      <alignment horizontal="center" vertical="center" wrapText="1"/>
      <protection hidden="1"/>
    </xf>
    <xf numFmtId="168" fontId="121" fillId="11" borderId="55" xfId="0" applyNumberFormat="1" applyFont="1" applyFill="1" applyBorder="1" applyAlignment="1" applyProtection="1">
      <alignment horizontal="center" vertical="center" wrapText="1"/>
      <protection hidden="1"/>
    </xf>
    <xf numFmtId="0" fontId="138" fillId="0" borderId="55" xfId="0" applyFont="1" applyBorder="1" applyAlignment="1" applyProtection="1">
      <alignment horizontal="center" vertical="center" wrapText="1"/>
      <protection hidden="1"/>
    </xf>
    <xf numFmtId="168" fontId="140" fillId="0" borderId="55" xfId="0" applyNumberFormat="1" applyFont="1" applyFill="1" applyBorder="1" applyAlignment="1" applyProtection="1">
      <alignment horizontal="center" vertical="center" wrapText="1"/>
      <protection hidden="1"/>
    </xf>
    <xf numFmtId="168" fontId="141" fillId="0" borderId="5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58" fillId="49" borderId="55" xfId="0" applyFont="1" applyFill="1" applyBorder="1" applyAlignment="1" applyProtection="1">
      <alignment horizontal="left" vertical="center" wrapText="1"/>
      <protection hidden="1"/>
    </xf>
    <xf numFmtId="0" fontId="141" fillId="49" borderId="55" xfId="0" applyFont="1" applyFill="1" applyBorder="1" applyAlignment="1" applyProtection="1">
      <alignment horizontal="center" vertical="center" wrapText="1"/>
      <protection hidden="1"/>
    </xf>
    <xf numFmtId="168" fontId="140" fillId="0" borderId="72" xfId="0" applyNumberFormat="1" applyFont="1" applyFill="1" applyBorder="1" applyAlignment="1" applyProtection="1">
      <alignment horizontal="center" vertical="center" wrapText="1"/>
      <protection hidden="1"/>
    </xf>
    <xf numFmtId="168" fontId="140" fillId="0" borderId="74" xfId="0" applyNumberFormat="1" applyFont="1" applyFill="1" applyBorder="1" applyAlignment="1" applyProtection="1">
      <alignment horizontal="center" vertical="center" wrapText="1"/>
      <protection hidden="1"/>
    </xf>
    <xf numFmtId="168" fontId="140" fillId="28" borderId="55" xfId="0" applyNumberFormat="1" applyFont="1" applyFill="1" applyBorder="1" applyAlignment="1" applyProtection="1">
      <alignment horizontal="center" vertical="center" wrapText="1"/>
      <protection locked="0"/>
    </xf>
    <xf numFmtId="168" fontId="140" fillId="28" borderId="55" xfId="0" applyNumberFormat="1" applyFont="1" applyFill="1" applyBorder="1" applyAlignment="1" applyProtection="1">
      <alignment horizontal="center" vertical="center" wrapText="1"/>
      <protection hidden="1"/>
    </xf>
    <xf numFmtId="168" fontId="135" fillId="0" borderId="55" xfId="0" applyNumberFormat="1" applyFont="1" applyFill="1" applyBorder="1" applyAlignment="1" applyProtection="1">
      <alignment horizontal="right" vertical="center" wrapText="1"/>
      <protection hidden="1"/>
    </xf>
    <xf numFmtId="0" fontId="141" fillId="0" borderId="76" xfId="0" applyFont="1" applyBorder="1" applyAlignment="1" applyProtection="1">
      <alignment horizontal="left" vertical="center" wrapText="1"/>
      <protection hidden="1"/>
    </xf>
    <xf numFmtId="168" fontId="141" fillId="11" borderId="55" xfId="0" applyNumberFormat="1" applyFont="1" applyFill="1" applyBorder="1" applyAlignment="1" applyProtection="1">
      <alignment horizontal="center" vertical="center" wrapText="1"/>
      <protection hidden="1"/>
    </xf>
    <xf numFmtId="0" fontId="135" fillId="0" borderId="72" xfId="0" applyFont="1" applyBorder="1" applyAlignment="1" applyProtection="1">
      <alignment horizontal="left" vertical="center" wrapText="1"/>
      <protection hidden="1"/>
    </xf>
    <xf numFmtId="0" fontId="135" fillId="0" borderId="73" xfId="0" applyFont="1" applyBorder="1" applyAlignment="1" applyProtection="1">
      <alignment horizontal="left" vertical="center" wrapText="1"/>
      <protection hidden="1"/>
    </xf>
    <xf numFmtId="0" fontId="136" fillId="0" borderId="73" xfId="0" applyFont="1" applyBorder="1" applyAlignment="1" applyProtection="1">
      <alignment horizontal="center" vertical="center" wrapText="1"/>
      <protection hidden="1"/>
    </xf>
    <xf numFmtId="0" fontId="136" fillId="0" borderId="74" xfId="0" applyFont="1" applyBorder="1" applyAlignment="1" applyProtection="1">
      <alignment horizontal="center" vertical="center" wrapText="1"/>
      <protection hidden="1"/>
    </xf>
    <xf numFmtId="168" fontId="141" fillId="11" borderId="74" xfId="0" applyNumberFormat="1" applyFont="1" applyFill="1" applyBorder="1" applyAlignment="1" applyProtection="1">
      <alignment horizontal="center" vertical="center" wrapText="1"/>
      <protection hidden="1"/>
    </xf>
    <xf numFmtId="0" fontId="135" fillId="19" borderId="72" xfId="0" applyFont="1" applyFill="1" applyBorder="1" applyAlignment="1" applyProtection="1">
      <alignment horizontal="left" vertical="center" wrapText="1"/>
      <protection hidden="1"/>
    </xf>
    <xf numFmtId="0" fontId="135" fillId="19" borderId="73" xfId="0" applyFont="1" applyFill="1" applyBorder="1" applyAlignment="1" applyProtection="1">
      <alignment horizontal="left" vertical="center" wrapText="1"/>
      <protection hidden="1"/>
    </xf>
    <xf numFmtId="168" fontId="141" fillId="0" borderId="74" xfId="0" applyNumberFormat="1" applyFont="1" applyFill="1" applyBorder="1" applyAlignment="1" applyProtection="1">
      <alignment horizontal="center" vertical="center" wrapText="1"/>
      <protection hidden="1"/>
    </xf>
    <xf numFmtId="0" fontId="135" fillId="0" borderId="75" xfId="0" applyFont="1" applyBorder="1" applyAlignment="1" applyProtection="1">
      <alignment horizontal="left" vertical="center" wrapText="1"/>
      <protection hidden="1"/>
    </xf>
    <xf numFmtId="168" fontId="141" fillId="11" borderId="75" xfId="0" applyNumberFormat="1" applyFont="1" applyFill="1" applyBorder="1" applyAlignment="1" applyProtection="1">
      <alignment horizontal="center" vertical="center" wrapText="1"/>
      <protection hidden="1"/>
    </xf>
    <xf numFmtId="0" fontId="135" fillId="0" borderId="62" xfId="0" applyFont="1" applyBorder="1" applyAlignment="1" applyProtection="1">
      <alignment horizontal="left" vertical="center" wrapText="1"/>
      <protection hidden="1"/>
    </xf>
    <xf numFmtId="0" fontId="135" fillId="0" borderId="0" xfId="0" applyFont="1" applyBorder="1" applyAlignment="1" applyProtection="1">
      <alignment horizontal="left" vertical="center" wrapText="1"/>
      <protection hidden="1"/>
    </xf>
    <xf numFmtId="0" fontId="135" fillId="0" borderId="57" xfId="0" applyFont="1" applyBorder="1" applyAlignment="1" applyProtection="1">
      <alignment horizontal="left" vertical="center" wrapText="1"/>
      <protection hidden="1"/>
    </xf>
    <xf numFmtId="0" fontId="135" fillId="0" borderId="74" xfId="0" applyFont="1" applyBorder="1" applyAlignment="1" applyProtection="1">
      <alignment horizontal="left" vertical="center" wrapText="1"/>
      <protection hidden="1"/>
    </xf>
    <xf numFmtId="0" fontId="136" fillId="0" borderId="55" xfId="0" applyFont="1" applyBorder="1" applyAlignment="1" applyProtection="1">
      <alignment horizontal="left" vertical="center" wrapText="1"/>
      <protection hidden="1"/>
    </xf>
    <xf numFmtId="0" fontId="135" fillId="0" borderId="55" xfId="0" applyFont="1" applyBorder="1" applyAlignment="1" applyProtection="1">
      <alignment horizontal="left" vertical="center" wrapText="1"/>
      <protection hidden="1"/>
    </xf>
    <xf numFmtId="0" fontId="152" fillId="0" borderId="0" xfId="0" applyFont="1" applyBorder="1" applyAlignment="1" applyProtection="1">
      <alignment horizontal="center" wrapText="1"/>
      <protection hidden="1"/>
    </xf>
    <xf numFmtId="0" fontId="140" fillId="0" borderId="0" xfId="0" applyFont="1" applyBorder="1" applyAlignment="1" applyProtection="1">
      <alignment horizontal="center" vertical="center" wrapText="1"/>
      <protection hidden="1"/>
    </xf>
    <xf numFmtId="0" fontId="152" fillId="0" borderId="0" xfId="0" applyFont="1" applyFill="1" applyBorder="1" applyAlignment="1" applyProtection="1">
      <alignment horizontal="center" vertical="center" wrapText="1"/>
      <protection hidden="1"/>
    </xf>
    <xf numFmtId="0" fontId="141" fillId="0" borderId="55" xfId="0" applyFont="1" applyFill="1" applyBorder="1" applyAlignment="1" applyProtection="1">
      <alignment horizontal="center" vertical="center" wrapText="1"/>
      <protection hidden="1"/>
    </xf>
    <xf numFmtId="0" fontId="159" fillId="0" borderId="57" xfId="0" applyFont="1" applyBorder="1" applyAlignment="1" applyProtection="1">
      <alignment horizontal="center" vertical="center" wrapText="1"/>
      <protection hidden="1"/>
    </xf>
    <xf numFmtId="0" fontId="140" fillId="0" borderId="0" xfId="0" applyFont="1" applyFill="1" applyBorder="1" applyAlignment="1" applyProtection="1">
      <alignment horizontal="left" vertical="center" wrapText="1"/>
      <protection hidden="1"/>
    </xf>
    <xf numFmtId="0" fontId="152" fillId="0" borderId="0" xfId="0" applyFont="1" applyFill="1" applyBorder="1" applyAlignment="1" applyProtection="1">
      <alignment horizontal="center" wrapText="1"/>
      <protection hidden="1"/>
    </xf>
    <xf numFmtId="0" fontId="91" fillId="0" borderId="72" xfId="4" applyFont="1" applyBorder="1" applyAlignment="1" applyProtection="1">
      <alignment horizontal="center" vertical="center"/>
      <protection hidden="1"/>
    </xf>
    <xf numFmtId="0" fontId="91" fillId="0" borderId="73" xfId="4" applyFont="1" applyBorder="1" applyAlignment="1" applyProtection="1">
      <alignment horizontal="center" vertical="center"/>
      <protection hidden="1"/>
    </xf>
    <xf numFmtId="0" fontId="91" fillId="0" borderId="74" xfId="4" applyFont="1" applyBorder="1" applyAlignment="1" applyProtection="1">
      <alignment horizontal="center" vertical="center"/>
      <protection hidden="1"/>
    </xf>
    <xf numFmtId="0" fontId="100" fillId="0" borderId="0" xfId="0" applyFont="1" applyBorder="1" applyAlignment="1" applyProtection="1">
      <alignment horizontal="center" vertical="center" wrapText="1"/>
      <protection hidden="1"/>
    </xf>
    <xf numFmtId="0" fontId="100" fillId="0" borderId="0" xfId="0" applyFont="1" applyBorder="1" applyAlignment="1" applyProtection="1">
      <alignment horizontal="left" vertical="center" wrapText="1"/>
      <protection hidden="1"/>
    </xf>
    <xf numFmtId="0" fontId="135" fillId="19" borderId="0" xfId="0" applyFont="1" applyFill="1" applyBorder="1" applyAlignment="1" applyProtection="1">
      <alignment horizontal="center" vertical="center" wrapText="1"/>
      <protection locked="0"/>
    </xf>
    <xf numFmtId="0" fontId="153" fillId="0" borderId="0" xfId="0" applyFont="1" applyBorder="1" applyAlignment="1" applyProtection="1">
      <alignment horizontal="right" vertical="center" wrapText="1"/>
      <protection hidden="1"/>
    </xf>
  </cellXfs>
  <cellStyles count="8">
    <cellStyle name="Hyperlink" xfId="7" builtinId="8"/>
    <cellStyle name="Normal" xfId="0" builtinId="0"/>
    <cellStyle name="Normal 2" xfId="4"/>
    <cellStyle name="Normal 2 3" xfId="3"/>
    <cellStyle name="Normal 3" xfId="6"/>
    <cellStyle name="Normal 5" xfId="1"/>
    <cellStyle name="Normal 6" xfId="2"/>
    <cellStyle name="Normal_pay 2008-09" xfId="5"/>
  </cellStyles>
  <dxfs count="1">
    <dxf>
      <fill>
        <patternFill patternType="solid">
          <fgColor auto="1"/>
          <bgColor theme="9" tint="0.79998168889431442"/>
        </patternFill>
      </fill>
    </dxf>
  </dxfs>
  <tableStyles count="0" defaultTableStyle="TableStyleMedium9" defaultPivotStyle="PivotStyleLight16"/>
  <colors>
    <mruColors>
      <color rgb="FF0000FF"/>
      <color rgb="FFCC0099"/>
      <color rgb="FF33CC33"/>
      <color rgb="FF400E3C"/>
      <color rgb="FFCC00FF"/>
      <color rgb="FFFFFF99"/>
      <color rgb="FFE7E8B6"/>
      <color rgb="FF990033"/>
      <color rgb="FF99FFCC"/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COMPUTATION!A1"/><Relationship Id="rId2" Type="http://schemas.openxmlformats.org/officeDocument/2006/relationships/hyperlink" Target="#'Extra Ded. '!A1"/><Relationship Id="rId1" Type="http://schemas.openxmlformats.org/officeDocument/2006/relationships/image" Target="../media/image5.jpeg"/><Relationship Id="rId6" Type="http://schemas.openxmlformats.org/officeDocument/2006/relationships/hyperlink" Target="#'GA55 Check &amp; Edit'!A1"/><Relationship Id="rId5" Type="http://schemas.openxmlformats.org/officeDocument/2006/relationships/hyperlink" Target="#Sheet1!A1"/><Relationship Id="rId4" Type="http://schemas.openxmlformats.org/officeDocument/2006/relationships/hyperlink" Target="#'GA55 Only Print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HRA Calculation'!A1"/><Relationship Id="rId1" Type="http://schemas.openxmlformats.org/officeDocument/2006/relationships/hyperlink" Target="#'GA55 Check &amp; Edit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Comprision with old &amp; New tax '!A1"/><Relationship Id="rId1" Type="http://schemas.openxmlformats.org/officeDocument/2006/relationships/hyperlink" Target="#'HRA Calculation'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'89 (1) Form'!A1"/><Relationship Id="rId1" Type="http://schemas.openxmlformats.org/officeDocument/2006/relationships/hyperlink" Target="#'Comprision with old &amp; New tax '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'Master Data'!A1"/><Relationship Id="rId1" Type="http://schemas.openxmlformats.org/officeDocument/2006/relationships/hyperlink" Target="#form10E!A1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7.jpeg"/><Relationship Id="rId1" Type="http://schemas.openxmlformats.org/officeDocument/2006/relationships/image" Target="../media/image6.jpeg"/><Relationship Id="rId4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3</xdr:row>
      <xdr:rowOff>104775</xdr:rowOff>
    </xdr:from>
    <xdr:to>
      <xdr:col>1</xdr:col>
      <xdr:colOff>1696706</xdr:colOff>
      <xdr:row>5</xdr:row>
      <xdr:rowOff>885825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5825" y="1314450"/>
          <a:ext cx="1601456" cy="1409700"/>
        </a:xfrm>
        <a:prstGeom prst="ellipse">
          <a:avLst/>
        </a:prstGeom>
        <a:ln>
          <a:solidFill>
            <a:srgbClr val="CC00FF"/>
          </a:solidFill>
        </a:ln>
        <a:effectLst>
          <a:glow rad="63500">
            <a:schemeClr val="accent3">
              <a:satMod val="175000"/>
              <a:alpha val="40000"/>
            </a:schemeClr>
          </a:glow>
          <a:outerShdw blurRad="50800" dist="38100" dir="10800000" algn="r" rotWithShape="0">
            <a:prstClr val="black">
              <a:alpha val="40000"/>
            </a:prstClr>
          </a:outerShdw>
          <a:softEdge rad="112500"/>
        </a:effectLst>
        <a:scene3d>
          <a:camera prst="perspectiveLeft"/>
          <a:lightRig rig="threePt" dir="t"/>
        </a:scene3d>
        <a:sp3d>
          <a:bevelT w="152400" h="50800" prst="softRound"/>
        </a:sp3d>
      </xdr:spPr>
    </xdr:pic>
    <xdr:clientData/>
  </xdr:twoCellAnchor>
  <xdr:twoCellAnchor>
    <xdr:from>
      <xdr:col>1</xdr:col>
      <xdr:colOff>9524</xdr:colOff>
      <xdr:row>10</xdr:row>
      <xdr:rowOff>9525</xdr:rowOff>
    </xdr:from>
    <xdr:to>
      <xdr:col>2</xdr:col>
      <xdr:colOff>9524</xdr:colOff>
      <xdr:row>10</xdr:row>
      <xdr:rowOff>390525</xdr:rowOff>
    </xdr:to>
    <xdr:sp macro="" textlink="">
      <xdr:nvSpPr>
        <xdr:cNvPr id="3" name="Frame 2"/>
        <xdr:cNvSpPr/>
      </xdr:nvSpPr>
      <xdr:spPr>
        <a:xfrm>
          <a:off x="9524" y="4219575"/>
          <a:ext cx="1762125" cy="381000"/>
        </a:xfrm>
        <a:prstGeom prst="frame">
          <a:avLst/>
        </a:prstGeom>
        <a:scene3d>
          <a:camera prst="orthographicFront"/>
          <a:lightRig rig="threePt" dir="t"/>
        </a:scene3d>
        <a:sp3d>
          <a:bevelT prst="relaxedInset"/>
        </a:sp3d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266700</xdr:colOff>
      <xdr:row>10</xdr:row>
      <xdr:rowOff>57147</xdr:rowOff>
    </xdr:from>
    <xdr:to>
      <xdr:col>2</xdr:col>
      <xdr:colOff>809625</xdr:colOff>
      <xdr:row>10</xdr:row>
      <xdr:rowOff>322704</xdr:rowOff>
    </xdr:to>
    <xdr:sp macro="" textlink="">
      <xdr:nvSpPr>
        <xdr:cNvPr id="4" name="Notched Right Arrow 3"/>
        <xdr:cNvSpPr/>
      </xdr:nvSpPr>
      <xdr:spPr>
        <a:xfrm rot="10800000">
          <a:off x="2867025" y="4552947"/>
          <a:ext cx="542925" cy="265557"/>
        </a:xfrm>
        <a:prstGeom prst="notchedRightArrow">
          <a:avLst/>
        </a:prstGeom>
        <a:scene3d>
          <a:camera prst="obliqueBottomLeft"/>
          <a:lightRig rig="threePt" dir="t"/>
        </a:scene3d>
        <a:sp3d>
          <a:bevelT w="152400" h="50800" prst="softRound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209550</xdr:colOff>
      <xdr:row>13</xdr:row>
      <xdr:rowOff>85722</xdr:rowOff>
    </xdr:from>
    <xdr:to>
      <xdr:col>3</xdr:col>
      <xdr:colOff>1847850</xdr:colOff>
      <xdr:row>15</xdr:row>
      <xdr:rowOff>285750</xdr:rowOff>
    </xdr:to>
    <xdr:sp macro="" textlink="">
      <xdr:nvSpPr>
        <xdr:cNvPr id="5" name="Left Arrow 4"/>
        <xdr:cNvSpPr/>
      </xdr:nvSpPr>
      <xdr:spPr>
        <a:xfrm>
          <a:off x="10258425" y="5495922"/>
          <a:ext cx="1638300" cy="790578"/>
        </a:xfrm>
        <a:prstGeom prst="leftArrow">
          <a:avLst/>
        </a:prstGeom>
        <a:scene3d>
          <a:camera prst="obliqueBottomLeft"/>
          <a:lightRig rig="threePt" dir="t"/>
        </a:scene3d>
        <a:sp3d>
          <a:bevelT w="152400" h="50800" prst="softRound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400" b="1">
              <a:solidFill>
                <a:srgbClr val="990033"/>
              </a:solidFill>
            </a:rPr>
            <a:t> Curser Move on Name</a:t>
          </a:r>
        </a:p>
      </xdr:txBody>
    </xdr:sp>
    <xdr:clientData/>
  </xdr:twoCellAnchor>
  <xdr:twoCellAnchor editAs="oneCell">
    <xdr:from>
      <xdr:col>3</xdr:col>
      <xdr:colOff>161926</xdr:colOff>
      <xdr:row>2</xdr:row>
      <xdr:rowOff>581025</xdr:rowOff>
    </xdr:from>
    <xdr:to>
      <xdr:col>3</xdr:col>
      <xdr:colOff>2066925</xdr:colOff>
      <xdr:row>7</xdr:row>
      <xdr:rowOff>38100</xdr:rowOff>
    </xdr:to>
    <xdr:pic>
      <xdr:nvPicPr>
        <xdr:cNvPr id="6" name="Picture 5" descr="gurudev1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01376" y="1066800"/>
          <a:ext cx="1904999" cy="2314575"/>
        </a:xfrm>
        <a:prstGeom prst="roundRect">
          <a:avLst>
            <a:gd name="adj" fmla="val 16667"/>
          </a:avLst>
        </a:prstGeom>
        <a:ln>
          <a:solidFill>
            <a:schemeClr val="accent2">
              <a:lumMod val="75000"/>
            </a:schemeClr>
          </a:solidFill>
        </a:ln>
        <a:effectLst>
          <a:glow rad="63500">
            <a:schemeClr val="accent4">
              <a:satMod val="175000"/>
              <a:alpha val="40000"/>
            </a:schemeClr>
          </a:glow>
          <a:outerShdw blurRad="76200" dist="38100" dir="7800000" algn="tl" rotWithShape="0">
            <a:srgbClr val="000000">
              <a:alpha val="40000"/>
            </a:srgbClr>
          </a:outerShdw>
          <a:reflection blurRad="6350" stA="52000" endA="300" endPos="35000" dir="5400000" sy="-100000" algn="bl" rotWithShape="0"/>
        </a:effectLst>
        <a:scene3d>
          <a:camera prst="obliqueTopRight"/>
          <a:lightRig rig="contrasting" dir="t">
            <a:rot lat="0" lon="0" rev="4200000"/>
          </a:lightRig>
        </a:scene3d>
        <a:sp3d prstMaterial="plastic">
          <a:bevelT w="381000" h="114300" prst="softRound"/>
          <a:contourClr>
            <a:srgbClr val="969696"/>
          </a:contourClr>
        </a:sp3d>
      </xdr:spPr>
    </xdr:pic>
    <xdr:clientData/>
  </xdr:twoCellAnchor>
  <xdr:twoCellAnchor>
    <xdr:from>
      <xdr:col>3</xdr:col>
      <xdr:colOff>1104901</xdr:colOff>
      <xdr:row>11</xdr:row>
      <xdr:rowOff>9525</xdr:rowOff>
    </xdr:from>
    <xdr:to>
      <xdr:col>3</xdr:col>
      <xdr:colOff>1371601</xdr:colOff>
      <xdr:row>12</xdr:row>
      <xdr:rowOff>76200</xdr:rowOff>
    </xdr:to>
    <xdr:sp macro="" textlink="">
      <xdr:nvSpPr>
        <xdr:cNvPr id="7" name="Down Arrow 6"/>
        <xdr:cNvSpPr/>
      </xdr:nvSpPr>
      <xdr:spPr>
        <a:xfrm>
          <a:off x="12163426" y="4905375"/>
          <a:ext cx="266700" cy="361950"/>
        </a:xfrm>
        <a:prstGeom prst="downArrow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866775</xdr:colOff>
      <xdr:row>1</xdr:row>
      <xdr:rowOff>0</xdr:rowOff>
    </xdr:from>
    <xdr:to>
      <xdr:col>10</xdr:col>
      <xdr:colOff>866775</xdr:colOff>
      <xdr:row>11</xdr:row>
      <xdr:rowOff>19050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868150" y="19049"/>
          <a:ext cx="1781175" cy="200977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495300</xdr:colOff>
      <xdr:row>30</xdr:row>
      <xdr:rowOff>133351</xdr:rowOff>
    </xdr:from>
    <xdr:to>
      <xdr:col>7</xdr:col>
      <xdr:colOff>514350</xdr:colOff>
      <xdr:row>33</xdr:row>
      <xdr:rowOff>28575</xdr:rowOff>
    </xdr:to>
    <xdr:sp macro="[1]!Macro1" textlink="">
      <xdr:nvSpPr>
        <xdr:cNvPr id="6" name="Rounded Rectangle 5">
          <a:hlinkClick xmlns:r="http://schemas.openxmlformats.org/officeDocument/2006/relationships" r:id="rId2"/>
        </xdr:cNvPr>
        <xdr:cNvSpPr/>
      </xdr:nvSpPr>
      <xdr:spPr>
        <a:xfrm>
          <a:off x="5248275" y="10296526"/>
          <a:ext cx="2352675" cy="466724"/>
        </a:xfrm>
        <a:prstGeom prst="roundRect">
          <a:avLst>
            <a:gd name="adj" fmla="val 16667"/>
          </a:avLst>
        </a:prstGeom>
        <a:ln w="12700"/>
        <a:scene3d>
          <a:camera prst="obliqueTopRigh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1003">
          <a:schemeClr val="dk1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2000" b="1" i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+mn-lt"/>
              <a:ea typeface="+mn-ea"/>
              <a:cs typeface="+mn-cs"/>
            </a:rPr>
            <a:t>Extra Ded. Sheet</a:t>
          </a:r>
          <a:endParaRPr lang="en-US" sz="36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twoCellAnchor>
  <xdr:twoCellAnchor>
    <xdr:from>
      <xdr:col>9</xdr:col>
      <xdr:colOff>1074150</xdr:colOff>
      <xdr:row>0</xdr:row>
      <xdr:rowOff>28575</xdr:rowOff>
    </xdr:from>
    <xdr:to>
      <xdr:col>14</xdr:col>
      <xdr:colOff>19050</xdr:colOff>
      <xdr:row>18</xdr:row>
      <xdr:rowOff>95250</xdr:rowOff>
    </xdr:to>
    <xdr:grpSp>
      <xdr:nvGrpSpPr>
        <xdr:cNvPr id="17" name="Group 16"/>
        <xdr:cNvGrpSpPr/>
      </xdr:nvGrpSpPr>
      <xdr:grpSpPr>
        <a:xfrm>
          <a:off x="10665825" y="28575"/>
          <a:ext cx="4812300" cy="3648075"/>
          <a:chOff x="10665825" y="28575"/>
          <a:chExt cx="4812300" cy="3648075"/>
        </a:xfrm>
      </xdr:grpSpPr>
      <xdr:sp macro="" textlink="">
        <xdr:nvSpPr>
          <xdr:cNvPr id="9" name="Frame 8"/>
          <xdr:cNvSpPr/>
        </xdr:nvSpPr>
        <xdr:spPr>
          <a:xfrm>
            <a:off x="10665825" y="3209925"/>
            <a:ext cx="4812300" cy="466725"/>
          </a:xfrm>
          <a:prstGeom prst="fram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>
              <a:solidFill>
                <a:schemeClr val="tx1"/>
              </a:solidFill>
            </a:endParaRPr>
          </a:p>
        </xdr:txBody>
      </xdr:sp>
      <xdr:pic>
        <xdr:nvPicPr>
          <xdr:cNvPr id="7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11958508" y="28575"/>
            <a:ext cx="2452817" cy="2976777"/>
          </a:xfrm>
          <a:prstGeom prst="roundRect">
            <a:avLst>
              <a:gd name="adj" fmla="val 8594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glow rad="139700">
              <a:schemeClr val="accent3">
                <a:satMod val="175000"/>
                <a:alpha val="40000"/>
              </a:schemeClr>
            </a:glow>
            <a:reflection blurRad="12700" stA="38000" endPos="28000" dist="5000" dir="5400000" sy="-100000" algn="bl" rotWithShape="0"/>
          </a:effectLst>
        </xdr:spPr>
      </xdr:pic>
    </xdr:grpSp>
    <xdr:clientData/>
  </xdr:twoCellAnchor>
  <xdr:twoCellAnchor editAs="oneCell">
    <xdr:from>
      <xdr:col>10</xdr:col>
      <xdr:colOff>866775</xdr:colOff>
      <xdr:row>18</xdr:row>
      <xdr:rowOff>19049</xdr:rowOff>
    </xdr:from>
    <xdr:to>
      <xdr:col>10</xdr:col>
      <xdr:colOff>866775</xdr:colOff>
      <xdr:row>27</xdr:row>
      <xdr:rowOff>123824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868150" y="19049"/>
          <a:ext cx="0" cy="2009775"/>
        </a:xfrm>
        <a:prstGeom prst="rect">
          <a:avLst/>
        </a:prstGeom>
        <a:noFill/>
      </xdr:spPr>
    </xdr:pic>
    <xdr:clientData/>
  </xdr:twoCellAnchor>
  <xdr:twoCellAnchor>
    <xdr:from>
      <xdr:col>7</xdr:col>
      <xdr:colOff>762000</xdr:colOff>
      <xdr:row>30</xdr:row>
      <xdr:rowOff>142876</xdr:rowOff>
    </xdr:from>
    <xdr:to>
      <xdr:col>10</xdr:col>
      <xdr:colOff>438150</xdr:colOff>
      <xdr:row>33</xdr:row>
      <xdr:rowOff>38100</xdr:rowOff>
    </xdr:to>
    <xdr:sp macro="[1]!Macro1" textlink="">
      <xdr:nvSpPr>
        <xdr:cNvPr id="11" name="Rounded Rectangle 10">
          <a:hlinkClick xmlns:r="http://schemas.openxmlformats.org/officeDocument/2006/relationships" r:id="rId3"/>
        </xdr:cNvPr>
        <xdr:cNvSpPr/>
      </xdr:nvSpPr>
      <xdr:spPr>
        <a:xfrm>
          <a:off x="7848600" y="10306051"/>
          <a:ext cx="2981325" cy="466724"/>
        </a:xfrm>
        <a:prstGeom prst="roundRect">
          <a:avLst>
            <a:gd name="adj" fmla="val 0"/>
          </a:avLst>
        </a:prstGeom>
        <a:ln w="12700"/>
        <a:scene3d>
          <a:camera prst="obliqueTopRigh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1003">
          <a:schemeClr val="dk1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>
          <a:scene3d>
            <a:camera prst="perspectiveHeroicExtremeLeftFacing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2000" b="1" i="1" cap="none" spc="50">
              <a:ln w="11430"/>
              <a:solidFill>
                <a:srgbClr val="0000FF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+mn-lt"/>
              <a:ea typeface="+mn-ea"/>
              <a:cs typeface="+mn-cs"/>
            </a:rPr>
            <a:t>Tax Computetion</a:t>
          </a:r>
          <a:r>
            <a:rPr lang="en-US" sz="2000" b="1" i="1" cap="none" spc="50" baseline="0">
              <a:ln w="11430"/>
              <a:solidFill>
                <a:srgbClr val="0000FF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+mn-lt"/>
              <a:ea typeface="+mn-ea"/>
              <a:cs typeface="+mn-cs"/>
            </a:rPr>
            <a:t> Sheet</a:t>
          </a:r>
          <a:endParaRPr lang="en-US" sz="3600" b="1" cap="none" spc="50">
            <a:ln w="11430"/>
            <a:solidFill>
              <a:srgbClr val="0000FF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twoCellAnchor>
  <xdr:twoCellAnchor>
    <xdr:from>
      <xdr:col>2</xdr:col>
      <xdr:colOff>819150</xdr:colOff>
      <xdr:row>30</xdr:row>
      <xdr:rowOff>104775</xdr:rowOff>
    </xdr:from>
    <xdr:to>
      <xdr:col>5</xdr:col>
      <xdr:colOff>314325</xdr:colOff>
      <xdr:row>33</xdr:row>
      <xdr:rowOff>47624</xdr:rowOff>
    </xdr:to>
    <xdr:sp macro="[1]!Macro1" textlink="">
      <xdr:nvSpPr>
        <xdr:cNvPr id="12" name="Rounded Rectangle 11">
          <a:hlinkClick xmlns:r="http://schemas.openxmlformats.org/officeDocument/2006/relationships" r:id="rId4"/>
        </xdr:cNvPr>
        <xdr:cNvSpPr/>
      </xdr:nvSpPr>
      <xdr:spPr>
        <a:xfrm>
          <a:off x="2428875" y="10182225"/>
          <a:ext cx="2638425" cy="514349"/>
        </a:xfrm>
        <a:prstGeom prst="roundRect">
          <a:avLst>
            <a:gd name="adj" fmla="val 38096"/>
          </a:avLst>
        </a:prstGeom>
        <a:ln w="38100"/>
        <a:effectLst>
          <a:glow rad="63500">
            <a:schemeClr val="accent4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bliqueTopRigh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1003">
          <a:schemeClr val="dk1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>
          <a:scene3d>
            <a:camera prst="perspectiveHeroicExtremeRightFacing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2000" b="1" i="1" cap="none" spc="50">
              <a:ln w="11430"/>
              <a:solidFill>
                <a:srgbClr val="00206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+mn-lt"/>
              <a:ea typeface="+mn-ea"/>
              <a:cs typeface="+mn-cs"/>
            </a:rPr>
            <a:t>Go to GA55 Sheet</a:t>
          </a:r>
          <a:endParaRPr lang="en-US" sz="3600" b="1" cap="none" spc="50">
            <a:ln w="11430"/>
            <a:solidFill>
              <a:srgbClr val="00206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13</xdr:col>
      <xdr:colOff>361950</xdr:colOff>
      <xdr:row>33</xdr:row>
      <xdr:rowOff>161925</xdr:rowOff>
    </xdr:to>
    <xdr:grpSp>
      <xdr:nvGrpSpPr>
        <xdr:cNvPr id="13" name="Group 12"/>
        <xdr:cNvGrpSpPr/>
      </xdr:nvGrpSpPr>
      <xdr:grpSpPr>
        <a:xfrm>
          <a:off x="11887200" y="6257925"/>
          <a:ext cx="2590800" cy="733425"/>
          <a:chOff x="9172575" y="85725"/>
          <a:chExt cx="2541646" cy="685799"/>
        </a:xfrm>
        <a:effectLst>
          <a:glow rad="101600">
            <a:schemeClr val="accent3">
              <a:satMod val="175000"/>
              <a:alpha val="40000"/>
            </a:schemeClr>
          </a:glow>
        </a:effectLst>
      </xdr:grpSpPr>
      <xdr:sp macro="" textlink="">
        <xdr:nvSpPr>
          <xdr:cNvPr id="14" name="Left Arrow 13">
            <a:hlinkClick xmlns:r="http://schemas.openxmlformats.org/officeDocument/2006/relationships" r:id="rId5"/>
          </xdr:cNvPr>
          <xdr:cNvSpPr/>
        </xdr:nvSpPr>
        <xdr:spPr>
          <a:xfrm>
            <a:off x="9172575" y="85725"/>
            <a:ext cx="1181100" cy="685799"/>
          </a:xfrm>
          <a:prstGeom prst="lef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bevelT w="25400" h="55880" prst="artDeco"/>
              <a:contourClr>
                <a:schemeClr val="accent2">
                  <a:tint val="20000"/>
                </a:schemeClr>
              </a:contourClr>
            </a:sp3d>
          </a:bodyPr>
          <a:lstStyle/>
          <a:p>
            <a:pPr algn="ctr"/>
            <a:r>
              <a:rPr lang="en-US" sz="1800" b="1" cap="none" spc="5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BACK</a:t>
            </a:r>
            <a:r>
              <a:rPr lang="en-US" sz="1800" b="1" cap="none" spc="50" baseline="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 </a:t>
            </a:r>
            <a:endPara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endParaRPr>
          </a:p>
        </xdr:txBody>
      </xdr:sp>
      <xdr:sp macro="" textlink="">
        <xdr:nvSpPr>
          <xdr:cNvPr id="15" name="Right Arrow 14">
            <a:hlinkClick xmlns:r="http://schemas.openxmlformats.org/officeDocument/2006/relationships" r:id="rId6"/>
          </xdr:cNvPr>
          <xdr:cNvSpPr/>
        </xdr:nvSpPr>
        <xdr:spPr>
          <a:xfrm>
            <a:off x="10563991" y="103539"/>
            <a:ext cx="1150230" cy="623454"/>
          </a:xfrm>
          <a:prstGeom prst="righ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accent2">
                  <a:shade val="75000"/>
                </a:schemeClr>
              </a:contourClr>
            </a:sp3d>
          </a:bodyPr>
          <a:lstStyle/>
          <a:p>
            <a:pPr algn="ctr"/>
            <a:r>
              <a:rPr lang="en-US" sz="1800" b="1" cap="none" spc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NEXT</a:t>
            </a:r>
            <a:r>
              <a:rPr lang="en-US" sz="1800" b="1" cap="none" spc="0" baseline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 </a:t>
            </a:r>
            <a:endParaRPr lang="en-US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0</xdr:row>
      <xdr:rowOff>161924</xdr:rowOff>
    </xdr:from>
    <xdr:to>
      <xdr:col>6</xdr:col>
      <xdr:colOff>809625</xdr:colOff>
      <xdr:row>1</xdr:row>
      <xdr:rowOff>28575</xdr:rowOff>
    </xdr:to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4724400" y="161924"/>
          <a:ext cx="2257425" cy="342901"/>
        </a:xfrm>
        <a:prstGeom prst="rect">
          <a:avLst/>
        </a:prstGeom>
        <a:ln>
          <a:headEnd/>
          <a:tailEnd/>
        </a:ln>
        <a:effectLst>
          <a:glow rad="101600">
            <a:schemeClr val="accent5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  <a:scene3d>
          <a:camera prst="obliqueTopRight"/>
          <a:lightRig rig="threePt" dir="t"/>
        </a:scene3d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wrap="square" lIns="27432" tIns="27432" rIns="0" bIns="0" anchor="ctr" upright="1">
          <a:scene3d>
            <a:camera prst="obliqueBottomLef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1">
            <a:defRPr sz="1000"/>
          </a:pPr>
          <a:r>
            <a:rPr lang="en-US" sz="1800" b="1" i="0" strike="noStrike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Calibri"/>
              <a:cs typeface="Calibri"/>
            </a:rPr>
            <a:t>Deduction Detail</a:t>
          </a:r>
        </a:p>
      </xdr:txBody>
    </xdr:sp>
    <xdr:clientData/>
  </xdr:twoCellAnchor>
  <xdr:twoCellAnchor>
    <xdr:from>
      <xdr:col>6</xdr:col>
      <xdr:colOff>3286125</xdr:colOff>
      <xdr:row>0</xdr:row>
      <xdr:rowOff>0</xdr:rowOff>
    </xdr:from>
    <xdr:to>
      <xdr:col>7</xdr:col>
      <xdr:colOff>381000</xdr:colOff>
      <xdr:row>1</xdr:row>
      <xdr:rowOff>95250</xdr:rowOff>
    </xdr:to>
    <xdr:grpSp>
      <xdr:nvGrpSpPr>
        <xdr:cNvPr id="3" name="Group 2"/>
        <xdr:cNvGrpSpPr/>
      </xdr:nvGrpSpPr>
      <xdr:grpSpPr>
        <a:xfrm>
          <a:off x="10887075" y="0"/>
          <a:ext cx="2486025" cy="571500"/>
          <a:chOff x="9172575" y="85725"/>
          <a:chExt cx="2541646" cy="685799"/>
        </a:xfrm>
        <a:effectLst>
          <a:glow rad="101600">
            <a:schemeClr val="accent3">
              <a:satMod val="175000"/>
              <a:alpha val="40000"/>
            </a:schemeClr>
          </a:glow>
        </a:effectLst>
      </xdr:grpSpPr>
      <xdr:sp macro="" textlink="">
        <xdr:nvSpPr>
          <xdr:cNvPr id="4" name="Left Arrow 3">
            <a:hlinkClick xmlns:r="http://schemas.openxmlformats.org/officeDocument/2006/relationships" r:id="rId1"/>
          </xdr:cNvPr>
          <xdr:cNvSpPr/>
        </xdr:nvSpPr>
        <xdr:spPr>
          <a:xfrm>
            <a:off x="9172575" y="85725"/>
            <a:ext cx="1181100" cy="685799"/>
          </a:xfrm>
          <a:prstGeom prst="lef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bevelT w="25400" h="55880" prst="artDeco"/>
              <a:contourClr>
                <a:schemeClr val="accent2">
                  <a:tint val="20000"/>
                </a:schemeClr>
              </a:contourClr>
            </a:sp3d>
          </a:bodyPr>
          <a:lstStyle/>
          <a:p>
            <a:pPr algn="ctr"/>
            <a:r>
              <a:rPr lang="en-US" sz="1800" b="1" cap="none" spc="5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BACK</a:t>
            </a:r>
            <a:r>
              <a:rPr lang="en-US" sz="1800" b="1" cap="none" spc="50" baseline="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 </a:t>
            </a:r>
            <a:endPara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endParaRPr>
          </a:p>
        </xdr:txBody>
      </xdr:sp>
      <xdr:sp macro="" textlink="">
        <xdr:nvSpPr>
          <xdr:cNvPr id="5" name="Right Arrow 4">
            <a:hlinkClick xmlns:r="http://schemas.openxmlformats.org/officeDocument/2006/relationships" r:id="rId2"/>
          </xdr:cNvPr>
          <xdr:cNvSpPr/>
        </xdr:nvSpPr>
        <xdr:spPr>
          <a:xfrm>
            <a:off x="10563991" y="103539"/>
            <a:ext cx="1150230" cy="623454"/>
          </a:xfrm>
          <a:prstGeom prst="righ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accent2">
                  <a:shade val="75000"/>
                </a:schemeClr>
              </a:contourClr>
            </a:sp3d>
          </a:bodyPr>
          <a:lstStyle/>
          <a:p>
            <a:pPr algn="ctr"/>
            <a:r>
              <a:rPr lang="en-US" sz="1800" b="1" cap="none" spc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NEXT</a:t>
            </a:r>
            <a:r>
              <a:rPr lang="en-US" sz="1800" b="1" cap="none" spc="0" baseline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 </a:t>
            </a:r>
            <a:endParaRPr lang="en-US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0</xdr:colOff>
      <xdr:row>1</xdr:row>
      <xdr:rowOff>0</xdr:rowOff>
    </xdr:from>
    <xdr:to>
      <xdr:col>33</xdr:col>
      <xdr:colOff>1619250</xdr:colOff>
      <xdr:row>3</xdr:row>
      <xdr:rowOff>9525</xdr:rowOff>
    </xdr:to>
    <xdr:grpSp>
      <xdr:nvGrpSpPr>
        <xdr:cNvPr id="2" name="Group 1"/>
        <xdr:cNvGrpSpPr/>
      </xdr:nvGrpSpPr>
      <xdr:grpSpPr>
        <a:xfrm>
          <a:off x="15640050" y="352425"/>
          <a:ext cx="2314575" cy="628650"/>
          <a:chOff x="9172575" y="85725"/>
          <a:chExt cx="2541646" cy="685799"/>
        </a:xfrm>
        <a:effectLst>
          <a:glow rad="101600">
            <a:schemeClr val="accent3">
              <a:satMod val="175000"/>
              <a:alpha val="40000"/>
            </a:schemeClr>
          </a:glow>
        </a:effectLst>
      </xdr:grpSpPr>
      <xdr:sp macro="" textlink="">
        <xdr:nvSpPr>
          <xdr:cNvPr id="3" name="Left Arrow 2">
            <a:hlinkClick xmlns:r="http://schemas.openxmlformats.org/officeDocument/2006/relationships" r:id="rId1"/>
          </xdr:cNvPr>
          <xdr:cNvSpPr/>
        </xdr:nvSpPr>
        <xdr:spPr>
          <a:xfrm>
            <a:off x="9172575" y="85725"/>
            <a:ext cx="1181100" cy="685799"/>
          </a:xfrm>
          <a:prstGeom prst="lef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bevelT w="25400" h="55880" prst="artDeco"/>
              <a:contourClr>
                <a:schemeClr val="accent2">
                  <a:tint val="20000"/>
                </a:schemeClr>
              </a:contourClr>
            </a:sp3d>
          </a:bodyPr>
          <a:lstStyle/>
          <a:p>
            <a:pPr algn="ctr"/>
            <a:r>
              <a:rPr lang="en-US" sz="1800" b="1" cap="none" spc="5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BACK</a:t>
            </a:r>
            <a:r>
              <a:rPr lang="en-US" sz="1800" b="1" cap="none" spc="50" baseline="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 </a:t>
            </a:r>
            <a:endPara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endParaRPr>
          </a:p>
        </xdr:txBody>
      </xdr:sp>
      <xdr:sp macro="" textlink="">
        <xdr:nvSpPr>
          <xdr:cNvPr id="4" name="Right Arrow 3">
            <a:hlinkClick xmlns:r="http://schemas.openxmlformats.org/officeDocument/2006/relationships" r:id="rId2"/>
          </xdr:cNvPr>
          <xdr:cNvSpPr/>
        </xdr:nvSpPr>
        <xdr:spPr>
          <a:xfrm>
            <a:off x="10563991" y="103539"/>
            <a:ext cx="1150230" cy="623454"/>
          </a:xfrm>
          <a:prstGeom prst="righ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accent2">
                  <a:shade val="75000"/>
                </a:schemeClr>
              </a:contourClr>
            </a:sp3d>
          </a:bodyPr>
          <a:lstStyle/>
          <a:p>
            <a:pPr algn="ctr"/>
            <a:r>
              <a:rPr lang="en-US" sz="1800" b="1" cap="none" spc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NEXT</a:t>
            </a:r>
            <a:r>
              <a:rPr lang="en-US" sz="1800" b="1" cap="none" spc="0" baseline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 </a:t>
            </a:r>
            <a:endParaRPr lang="en-US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590549</xdr:colOff>
      <xdr:row>58</xdr:row>
      <xdr:rowOff>123824</xdr:rowOff>
    </xdr:from>
    <xdr:to>
      <xdr:col>18</xdr:col>
      <xdr:colOff>66674</xdr:colOff>
      <xdr:row>61</xdr:row>
      <xdr:rowOff>161924</xdr:rowOff>
    </xdr:to>
    <xdr:sp macro="" textlink="">
      <xdr:nvSpPr>
        <xdr:cNvPr id="8" name="Left-Right Arrow 7"/>
        <xdr:cNvSpPr/>
      </xdr:nvSpPr>
      <xdr:spPr>
        <a:xfrm rot="16200000">
          <a:off x="10868024" y="12277724"/>
          <a:ext cx="638175" cy="276225"/>
        </a:xfrm>
        <a:prstGeom prst="leftRightArrow">
          <a:avLst/>
        </a:prstGeom>
        <a:effectLst>
          <a:glow rad="63500">
            <a:schemeClr val="accent3">
              <a:satMod val="175000"/>
              <a:alpha val="40000"/>
            </a:schemeClr>
          </a:glow>
          <a:outerShdw blurRad="50800" dist="38100" dir="10800000" algn="r" rotWithShape="0">
            <a:prstClr val="black">
              <a:alpha val="40000"/>
            </a:prstClr>
          </a:outerShdw>
          <a:reflection blurRad="6350" stA="50000" endA="300" endPos="55000" dir="5400000" sy="-100000" algn="bl" rotWithShape="0"/>
        </a:effectLst>
        <a:scene3d>
          <a:camera prst="perspectiveRelaxedModerately"/>
          <a:lightRig rig="threePt" dir="t">
            <a:rot lat="0" lon="0" rev="1200000"/>
          </a:lightRig>
        </a:scene3d>
        <a:sp3d>
          <a:bevelT w="63500" h="25400" prst="angle"/>
        </a:sp3d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337669</xdr:colOff>
      <xdr:row>7</xdr:row>
      <xdr:rowOff>54374</xdr:rowOff>
    </xdr:from>
    <xdr:to>
      <xdr:col>22</xdr:col>
      <xdr:colOff>348228</xdr:colOff>
      <xdr:row>10</xdr:row>
      <xdr:rowOff>186537</xdr:rowOff>
    </xdr:to>
    <xdr:sp macro="" textlink="">
      <xdr:nvSpPr>
        <xdr:cNvPr id="10" name="Curved Left Arrow 9"/>
        <xdr:cNvSpPr/>
      </xdr:nvSpPr>
      <xdr:spPr>
        <a:xfrm rot="1798694">
          <a:off x="13300328" y="1647647"/>
          <a:ext cx="573400" cy="885504"/>
        </a:xfrm>
        <a:prstGeom prst="curvedLeftArrow">
          <a:avLst>
            <a:gd name="adj1" fmla="val 25000"/>
            <a:gd name="adj2" fmla="val 50000"/>
            <a:gd name="adj3" fmla="val 16174"/>
          </a:avLst>
        </a:prstGeom>
        <a:effectLst>
          <a:outerShdw blurRad="76200" dist="12700" dir="8100000" sy="-23000" kx="800400" algn="br" rotWithShape="0">
            <a:prstClr val="black">
              <a:alpha val="20000"/>
            </a:prstClr>
          </a:outerShdw>
        </a:effectLst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17</xdr:col>
      <xdr:colOff>664154</xdr:colOff>
      <xdr:row>31</xdr:row>
      <xdr:rowOff>27712</xdr:rowOff>
    </xdr:from>
    <xdr:to>
      <xdr:col>18</xdr:col>
      <xdr:colOff>63212</xdr:colOff>
      <xdr:row>32</xdr:row>
      <xdr:rowOff>96983</xdr:rowOff>
    </xdr:to>
    <xdr:cxnSp macro="">
      <xdr:nvCxnSpPr>
        <xdr:cNvPr id="4" name="Elbow Connector 3"/>
        <xdr:cNvCxnSpPr/>
      </xdr:nvCxnSpPr>
      <xdr:spPr>
        <a:xfrm rot="5400000">
          <a:off x="11087535" y="6615981"/>
          <a:ext cx="269296" cy="199158"/>
        </a:xfrm>
        <a:prstGeom prst="bentConnector3">
          <a:avLst>
            <a:gd name="adj1" fmla="val 2038"/>
          </a:avLst>
        </a:prstGeom>
        <a:ln>
          <a:tailEnd type="arrow"/>
        </a:ln>
        <a:effectLst>
          <a:glow rad="63500">
            <a:schemeClr val="accent2">
              <a:satMod val="175000"/>
              <a:alpha val="40000"/>
            </a:schemeClr>
          </a:glow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bliqueBottomRight"/>
          <a:lightRig rig="threePt" dir="t"/>
        </a:scene3d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0</xdr:row>
      <xdr:rowOff>0</xdr:rowOff>
    </xdr:from>
    <xdr:to>
      <xdr:col>20</xdr:col>
      <xdr:colOff>827809</xdr:colOff>
      <xdr:row>2</xdr:row>
      <xdr:rowOff>125556</xdr:rowOff>
    </xdr:to>
    <xdr:grpSp>
      <xdr:nvGrpSpPr>
        <xdr:cNvPr id="9" name="Group 8"/>
        <xdr:cNvGrpSpPr/>
      </xdr:nvGrpSpPr>
      <xdr:grpSpPr>
        <a:xfrm>
          <a:off x="10458450" y="0"/>
          <a:ext cx="2437534" cy="611331"/>
          <a:chOff x="9172575" y="85725"/>
          <a:chExt cx="2541646" cy="685799"/>
        </a:xfrm>
        <a:effectLst>
          <a:glow rad="101600">
            <a:schemeClr val="accent3">
              <a:satMod val="175000"/>
              <a:alpha val="40000"/>
            </a:schemeClr>
          </a:glow>
        </a:effectLst>
      </xdr:grpSpPr>
      <xdr:sp macro="" textlink="">
        <xdr:nvSpPr>
          <xdr:cNvPr id="11" name="Left Arrow 10">
            <a:hlinkClick xmlns:r="http://schemas.openxmlformats.org/officeDocument/2006/relationships" r:id="rId1"/>
          </xdr:cNvPr>
          <xdr:cNvSpPr/>
        </xdr:nvSpPr>
        <xdr:spPr>
          <a:xfrm>
            <a:off x="9172575" y="85725"/>
            <a:ext cx="1181100" cy="685799"/>
          </a:xfrm>
          <a:prstGeom prst="leftArrow">
            <a:avLst/>
          </a:prstGeom>
          <a:ln/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  <xdr:txBody>
          <a:bodyPr rtlCol="0" anchor="ctr"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bevelT w="25400" h="55880" prst="artDeco"/>
              <a:contourClr>
                <a:schemeClr val="accent2">
                  <a:tint val="20000"/>
                </a:schemeClr>
              </a:contourClr>
            </a:sp3d>
          </a:bodyPr>
          <a:lstStyle/>
          <a:p>
            <a:pPr algn="ctr"/>
            <a:r>
              <a:rPr lang="en-US" sz="1800" b="1" cap="none" spc="5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BACK</a:t>
            </a:r>
            <a:r>
              <a:rPr lang="en-US" sz="1800" b="1" cap="none" spc="50" baseline="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 </a:t>
            </a:r>
            <a:endPara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endParaRPr>
          </a:p>
        </xdr:txBody>
      </xdr:sp>
      <xdr:sp macro="" textlink="">
        <xdr:nvSpPr>
          <xdr:cNvPr id="12" name="Right Arrow 11">
            <a:hlinkClick xmlns:r="http://schemas.openxmlformats.org/officeDocument/2006/relationships" r:id="rId2"/>
          </xdr:cNvPr>
          <xdr:cNvSpPr/>
        </xdr:nvSpPr>
        <xdr:spPr>
          <a:xfrm>
            <a:off x="10563991" y="103539"/>
            <a:ext cx="1150230" cy="623454"/>
          </a:xfrm>
          <a:prstGeom prst="rightArrow">
            <a:avLst/>
          </a:prstGeom>
          <a:ln/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  <xdr:txBody>
          <a:bodyPr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accent2">
                  <a:shade val="75000"/>
                </a:schemeClr>
              </a:contourClr>
            </a:sp3d>
          </a:bodyPr>
          <a:lstStyle/>
          <a:p>
            <a:pPr algn="ctr"/>
            <a:r>
              <a:rPr lang="en-US" sz="1800" b="1" cap="none" spc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NEXT</a:t>
            </a:r>
            <a:r>
              <a:rPr lang="en-US" sz="1800" b="1" cap="none" spc="0" baseline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 </a:t>
            </a:r>
            <a:endParaRPr lang="en-US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16</xdr:col>
      <xdr:colOff>190501</xdr:colOff>
      <xdr:row>60</xdr:row>
      <xdr:rowOff>28575</xdr:rowOff>
    </xdr:from>
    <xdr:to>
      <xdr:col>20</xdr:col>
      <xdr:colOff>161925</xdr:colOff>
      <xdr:row>62</xdr:row>
      <xdr:rowOff>200025</xdr:rowOff>
    </xdr:to>
    <xdr:sp macro="" textlink="">
      <xdr:nvSpPr>
        <xdr:cNvPr id="7" name="Rounded Rectangle 6"/>
        <xdr:cNvSpPr/>
      </xdr:nvSpPr>
      <xdr:spPr>
        <a:xfrm>
          <a:off x="10258426" y="12401550"/>
          <a:ext cx="1971674" cy="571500"/>
        </a:xfrm>
        <a:prstGeom prst="roundRect">
          <a:avLst/>
        </a:prstGeom>
        <a:effectLst>
          <a:outerShdw blurRad="50800" dist="38100" dir="5400000" algn="t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rtlCol="0" anchor="ctr">
          <a:sp3d extrusionH="57150">
            <a:bevelT w="38100" h="38100" prst="relaxedInset"/>
          </a:sp3d>
        </a:bodyPr>
        <a:lstStyle/>
        <a:p>
          <a:pPr algn="ctr"/>
          <a:r>
            <a:rPr lang="en-US" sz="1400" b="1">
              <a:solidFill>
                <a:srgbClr val="CC00FF"/>
              </a:solidFill>
              <a:latin typeface="+mj-lt"/>
            </a:rPr>
            <a:t>Please Put here your Curser to know 87A</a:t>
          </a:r>
        </a:p>
      </xdr:txBody>
    </xdr:sp>
    <xdr:clientData/>
  </xdr:twoCellAnchor>
  <xdr:twoCellAnchor>
    <xdr:from>
      <xdr:col>18</xdr:col>
      <xdr:colOff>541856</xdr:colOff>
      <xdr:row>57</xdr:row>
      <xdr:rowOff>71773</xdr:rowOff>
    </xdr:from>
    <xdr:to>
      <xdr:col>20</xdr:col>
      <xdr:colOff>81339</xdr:colOff>
      <xdr:row>58</xdr:row>
      <xdr:rowOff>165591</xdr:rowOff>
    </xdr:to>
    <xdr:sp macro="" textlink="">
      <xdr:nvSpPr>
        <xdr:cNvPr id="17" name="U-Turn Arrow 16"/>
        <xdr:cNvSpPr/>
      </xdr:nvSpPr>
      <xdr:spPr>
        <a:xfrm rot="9573967">
          <a:off x="11800406" y="11882773"/>
          <a:ext cx="349108" cy="303368"/>
        </a:xfrm>
        <a:prstGeom prst="uturnArrow">
          <a:avLst/>
        </a:prstGeom>
        <a:effectLst>
          <a:outerShdw blurRad="152400" dist="317500" dir="5400000" sx="90000" sy="-19000" rotWithShape="0">
            <a:prstClr val="black">
              <a:alpha val="15000"/>
            </a:prstClr>
          </a:outerShdw>
        </a:effectLst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18</xdr:col>
      <xdr:colOff>746770</xdr:colOff>
      <xdr:row>43</xdr:row>
      <xdr:rowOff>34279</xdr:rowOff>
    </xdr:from>
    <xdr:to>
      <xdr:col>20</xdr:col>
      <xdr:colOff>240513</xdr:colOff>
      <xdr:row>44</xdr:row>
      <xdr:rowOff>173837</xdr:rowOff>
    </xdr:to>
    <xdr:sp macro="" textlink="">
      <xdr:nvSpPr>
        <xdr:cNvPr id="15" name="U-Turn Arrow 14"/>
        <xdr:cNvSpPr/>
      </xdr:nvSpPr>
      <xdr:spPr>
        <a:xfrm rot="5979138">
          <a:off x="11982450" y="9058274"/>
          <a:ext cx="349108" cy="303368"/>
        </a:xfrm>
        <a:prstGeom prst="uturnArrow">
          <a:avLst/>
        </a:prstGeom>
        <a:effectLst>
          <a:outerShdw blurRad="152400" dist="317500" dir="5400000" sx="90000" sy="-19000" rotWithShape="0">
            <a:prstClr val="black">
              <a:alpha val="15000"/>
            </a:prstClr>
          </a:outerShdw>
        </a:effectLst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15</xdr:col>
      <xdr:colOff>428625</xdr:colOff>
      <xdr:row>41</xdr:row>
      <xdr:rowOff>142875</xdr:rowOff>
    </xdr:from>
    <xdr:to>
      <xdr:col>16</xdr:col>
      <xdr:colOff>371475</xdr:colOff>
      <xdr:row>43</xdr:row>
      <xdr:rowOff>9525</xdr:rowOff>
    </xdr:to>
    <xdr:sp macro="" textlink="">
      <xdr:nvSpPr>
        <xdr:cNvPr id="16" name="Left-Right Arrow 15"/>
        <xdr:cNvSpPr/>
      </xdr:nvSpPr>
      <xdr:spPr>
        <a:xfrm rot="10800000">
          <a:off x="9801225" y="8734425"/>
          <a:ext cx="638175" cy="276225"/>
        </a:xfrm>
        <a:prstGeom prst="leftRightArrow">
          <a:avLst/>
        </a:prstGeom>
        <a:effectLst>
          <a:glow rad="63500">
            <a:schemeClr val="accent3">
              <a:satMod val="175000"/>
              <a:alpha val="40000"/>
            </a:schemeClr>
          </a:glow>
          <a:outerShdw blurRad="50800" dist="38100" dir="10800000" algn="r" rotWithShape="0">
            <a:prstClr val="black">
              <a:alpha val="40000"/>
            </a:prstClr>
          </a:outerShdw>
          <a:reflection blurRad="6350" stA="50000" endA="300" endPos="55000" dir="5400000" sy="-100000" algn="bl" rotWithShape="0"/>
        </a:effectLst>
        <a:scene3d>
          <a:camera prst="perspectiveRelaxedModerately"/>
          <a:lightRig rig="threePt" dir="t">
            <a:rot lat="0" lon="0" rev="1200000"/>
          </a:lightRig>
        </a:scene3d>
        <a:sp3d>
          <a:bevelT w="63500" h="25400" prst="angle"/>
        </a:sp3d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17</xdr:col>
      <xdr:colOff>283154</xdr:colOff>
      <xdr:row>16</xdr:row>
      <xdr:rowOff>199162</xdr:rowOff>
    </xdr:from>
    <xdr:to>
      <xdr:col>17</xdr:col>
      <xdr:colOff>482312</xdr:colOff>
      <xdr:row>18</xdr:row>
      <xdr:rowOff>68408</xdr:rowOff>
    </xdr:to>
    <xdr:cxnSp macro="">
      <xdr:nvCxnSpPr>
        <xdr:cNvPr id="14" name="Elbow Connector 13"/>
        <xdr:cNvCxnSpPr/>
      </xdr:nvCxnSpPr>
      <xdr:spPr>
        <a:xfrm rot="5400000">
          <a:off x="10706535" y="3777531"/>
          <a:ext cx="269296" cy="199158"/>
        </a:xfrm>
        <a:prstGeom prst="bentConnector3">
          <a:avLst>
            <a:gd name="adj1" fmla="val 33871"/>
          </a:avLst>
        </a:prstGeom>
        <a:ln>
          <a:tailEnd type="arrow"/>
        </a:ln>
        <a:effectLst>
          <a:glow rad="63500">
            <a:schemeClr val="accent2">
              <a:satMod val="175000"/>
              <a:alpha val="40000"/>
            </a:schemeClr>
          </a:glow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bliqueBottomRight"/>
          <a:lightRig rig="threePt" dir="t"/>
        </a:scene3d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390525</xdr:colOff>
      <xdr:row>15</xdr:row>
      <xdr:rowOff>9525</xdr:rowOff>
    </xdr:from>
    <xdr:to>
      <xdr:col>18</xdr:col>
      <xdr:colOff>600075</xdr:colOff>
      <xdr:row>17</xdr:row>
      <xdr:rowOff>133350</xdr:rowOff>
    </xdr:to>
    <xdr:sp macro="" textlink="">
      <xdr:nvSpPr>
        <xdr:cNvPr id="13" name="Line Callout 2 12"/>
        <xdr:cNvSpPr/>
      </xdr:nvSpPr>
      <xdr:spPr>
        <a:xfrm>
          <a:off x="10848975" y="3352800"/>
          <a:ext cx="1009650" cy="523875"/>
        </a:xfrm>
        <a:prstGeom prst="borderCallout2">
          <a:avLst>
            <a:gd name="adj1" fmla="val 18750"/>
            <a:gd name="adj2" fmla="val -8333"/>
            <a:gd name="adj3" fmla="val 43750"/>
            <a:gd name="adj4" fmla="val -41195"/>
            <a:gd name="adj5" fmla="val -404596"/>
            <a:gd name="adj6" fmla="val -13675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2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Us 10(13-A) &amp; 10(14)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2</xdr:row>
      <xdr:rowOff>142874</xdr:rowOff>
    </xdr:from>
    <xdr:to>
      <xdr:col>15</xdr:col>
      <xdr:colOff>365125</xdr:colOff>
      <xdr:row>6</xdr:row>
      <xdr:rowOff>103187</xdr:rowOff>
    </xdr:to>
    <xdr:sp macro="" textlink="">
      <xdr:nvSpPr>
        <xdr:cNvPr id="2" name="Left Arrow 1">
          <a:hlinkClick xmlns:r="http://schemas.openxmlformats.org/officeDocument/2006/relationships" r:id="rId1"/>
        </xdr:cNvPr>
        <xdr:cNvSpPr/>
      </xdr:nvSpPr>
      <xdr:spPr>
        <a:xfrm>
          <a:off x="8548688" y="460374"/>
          <a:ext cx="1047750" cy="722313"/>
        </a:xfrm>
        <a:prstGeom prst="leftArrow">
          <a:avLst/>
        </a:prstGeom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BACK</a:t>
          </a:r>
          <a:r>
            <a:rPr lang="en-US" sz="18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</a:t>
          </a:r>
          <a:endParaRPr lang="en-US" sz="18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twoCellAnchor>
  <xdr:twoCellAnchor>
    <xdr:from>
      <xdr:col>14</xdr:col>
      <xdr:colOff>0</xdr:colOff>
      <xdr:row>7</xdr:row>
      <xdr:rowOff>182561</xdr:rowOff>
    </xdr:from>
    <xdr:to>
      <xdr:col>16</xdr:col>
      <xdr:colOff>214312</xdr:colOff>
      <xdr:row>12</xdr:row>
      <xdr:rowOff>198437</xdr:rowOff>
    </xdr:to>
    <xdr:sp macro="" textlink="">
      <xdr:nvSpPr>
        <xdr:cNvPr id="3" name="Left Arrow 2">
          <a:hlinkClick xmlns:r="http://schemas.openxmlformats.org/officeDocument/2006/relationships" r:id="rId2"/>
        </xdr:cNvPr>
        <xdr:cNvSpPr/>
      </xdr:nvSpPr>
      <xdr:spPr>
        <a:xfrm>
          <a:off x="8548688" y="1444624"/>
          <a:ext cx="1579562" cy="912813"/>
        </a:xfrm>
        <a:prstGeom prst="leftArrow">
          <a:avLst/>
        </a:prstGeom>
        <a:ln/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1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Go to Master sheet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REE/Downloads/Micro-Income-Tax-Excel-Software-FY-2019-20-Updated-03122019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REE/Downloads/INCOME%20TAX%20SOFTWARE%202020-21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GA 55"/>
      <sheetName val="Extra deduc"/>
      <sheetName val="COMPUTATION"/>
      <sheetName val="Micro-Income-Tax-Excel-Software"/>
    </sheetNames>
    <definedNames>
      <definedName name="Macro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putation sheet"/>
      <sheetName val="Information &amp; Rules"/>
      <sheetName val="Developer's desk"/>
      <sheetName val="ENTRY"/>
      <sheetName val="G.A. 55"/>
      <sheetName val="Tax Calculator BOTH REGIME"/>
      <sheetName val="TAX (OLD)"/>
      <sheetName val="TAX (NEW)"/>
      <sheetName val="16 NO."/>
      <sheetName val="HRA"/>
      <sheetName val="89(1)form"/>
      <sheetName val="Form10E"/>
    </sheetNames>
    <sheetDataSet>
      <sheetData sheetId="0"/>
      <sheetData sheetId="1"/>
      <sheetData sheetId="2"/>
      <sheetData sheetId="3">
        <row r="11">
          <cell r="G11" t="str">
            <v>Principal</v>
          </cell>
        </row>
      </sheetData>
      <sheetData sheetId="4">
        <row r="8">
          <cell r="I8">
            <v>30243</v>
          </cell>
        </row>
      </sheetData>
      <sheetData sheetId="5"/>
      <sheetData sheetId="6">
        <row r="3">
          <cell r="E3" t="str">
            <v>VIJAY RANWA</v>
          </cell>
        </row>
        <row r="21">
          <cell r="L21">
            <v>0</v>
          </cell>
        </row>
      </sheetData>
      <sheetData sheetId="7"/>
      <sheetData sheetId="8">
        <row r="62">
          <cell r="B62">
            <v>12000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playlist?list=PLmNJTudmvkgL-ZI7qFKfQ6oz6WTNnW31z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www.youtube.com/c/Heeralaljat/" TargetMode="External"/><Relationship Id="rId1" Type="http://schemas.openxmlformats.org/officeDocument/2006/relationships/hyperlink" Target="mailto:heeralaljatchandawal@gmail.com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hyperlink" Target="https://youtu.be/FwBqjLiBd28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youtube.com/watch?v=kSG6hPX7VSQ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www.youtube.com/watch?v=NWwIhkhEUoc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youtube.com/watch?v=TJ5dWmZplAk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29"/>
  <sheetViews>
    <sheetView showGridLines="0" showRowColHeaders="0" tabSelected="1" workbookViewId="0">
      <selection activeCell="C6" sqref="C6"/>
    </sheetView>
  </sheetViews>
  <sheetFormatPr defaultColWidth="0" defaultRowHeight="15" zeroHeight="1"/>
  <cols>
    <col min="1" max="1" width="10.375" style="14" customWidth="1"/>
    <col min="2" max="2" width="23.75" style="14" customWidth="1"/>
    <col min="3" max="3" width="111" style="14" customWidth="1"/>
    <col min="4" max="4" width="33.875" style="14" customWidth="1"/>
    <col min="5" max="16384" width="9" style="14" hidden="1"/>
  </cols>
  <sheetData>
    <row r="1" spans="2:4" ht="22.5">
      <c r="C1" s="165" t="s">
        <v>226</v>
      </c>
    </row>
    <row r="2" spans="2:4" ht="15.75" thickBot="1"/>
    <row r="3" spans="2:4" ht="57" customHeight="1" thickTop="1" thickBot="1">
      <c r="B3" s="245" t="s">
        <v>433</v>
      </c>
      <c r="C3" s="245"/>
    </row>
    <row r="4" spans="2:4" ht="24.95" customHeight="1" thickTop="1" thickBot="1">
      <c r="B4" s="246"/>
      <c r="C4" s="166" t="s">
        <v>212</v>
      </c>
    </row>
    <row r="5" spans="2:4" ht="24.95" customHeight="1" thickTop="1" thickBot="1">
      <c r="B5" s="246"/>
      <c r="C5" s="167" t="s">
        <v>213</v>
      </c>
    </row>
    <row r="6" spans="2:4" ht="79.5" customHeight="1" thickTop="1" thickBot="1">
      <c r="B6" s="247"/>
      <c r="C6" s="168" t="s">
        <v>215</v>
      </c>
      <c r="D6" s="205"/>
    </row>
    <row r="7" spans="2:4" ht="39" customHeight="1" thickTop="1" thickBot="1">
      <c r="B7" s="169" t="s">
        <v>211</v>
      </c>
      <c r="C7" s="170" t="s">
        <v>214</v>
      </c>
    </row>
    <row r="8" spans="2:4" ht="24.95" customHeight="1" thickTop="1" thickBot="1">
      <c r="B8" s="250" t="s">
        <v>216</v>
      </c>
      <c r="C8" s="251"/>
      <c r="D8" s="206" t="s">
        <v>372</v>
      </c>
    </row>
    <row r="9" spans="2:4" ht="41.25" customHeight="1" thickTop="1" thickBot="1">
      <c r="B9" s="248" t="s">
        <v>217</v>
      </c>
      <c r="C9" s="249"/>
      <c r="D9" s="206"/>
    </row>
    <row r="10" spans="2:4" ht="24.95" customHeight="1" thickTop="1">
      <c r="B10" s="252"/>
      <c r="C10" s="252"/>
    </row>
    <row r="11" spans="2:4" ht="31.5" customHeight="1">
      <c r="B11" s="171" t="s">
        <v>218</v>
      </c>
      <c r="C11" s="213" t="s">
        <v>380</v>
      </c>
      <c r="D11" s="217" t="s">
        <v>390</v>
      </c>
    </row>
    <row r="12" spans="2:4" ht="23.25" customHeight="1" thickBot="1">
      <c r="B12" s="258"/>
      <c r="C12" s="258"/>
      <c r="D12" s="218"/>
    </row>
    <row r="13" spans="2:4" ht="39.75" customHeight="1" thickTop="1" thickBot="1">
      <c r="B13" s="259" t="s">
        <v>220</v>
      </c>
      <c r="C13" s="259"/>
      <c r="D13" s="219" t="s">
        <v>391</v>
      </c>
    </row>
    <row r="14" spans="2:4" ht="16.5" thickTop="1" thickBot="1"/>
    <row r="15" spans="2:4" ht="30" customHeight="1">
      <c r="B15" s="260" t="s">
        <v>221</v>
      </c>
      <c r="C15" s="261"/>
    </row>
    <row r="16" spans="2:4" ht="30" customHeight="1">
      <c r="B16" s="262" t="s">
        <v>222</v>
      </c>
      <c r="C16" s="263"/>
    </row>
    <row r="17" spans="2:3" ht="30" customHeight="1">
      <c r="B17" s="264" t="s">
        <v>225</v>
      </c>
      <c r="C17" s="265"/>
    </row>
    <row r="18" spans="2:3" ht="30" customHeight="1">
      <c r="B18" s="254" t="s">
        <v>223</v>
      </c>
      <c r="C18" s="255"/>
    </row>
    <row r="19" spans="2:3" ht="30" customHeight="1" thickBot="1">
      <c r="B19" s="256" t="s">
        <v>224</v>
      </c>
      <c r="C19" s="257"/>
    </row>
    <row r="20" spans="2:3" ht="40.5" customHeight="1"/>
    <row r="21" spans="2:3" ht="26.25" customHeight="1">
      <c r="C21" s="253" t="s">
        <v>373</v>
      </c>
    </row>
    <row r="22" spans="2:3">
      <c r="C22" s="253"/>
    </row>
    <row r="23" spans="2:3"/>
    <row r="24" spans="2:3" ht="24" customHeight="1">
      <c r="C24" s="212" t="s">
        <v>378</v>
      </c>
    </row>
    <row r="25" spans="2:3"/>
    <row r="26" spans="2:3" ht="33" customHeight="1">
      <c r="C26" s="210" t="s">
        <v>374</v>
      </c>
    </row>
    <row r="27" spans="2:3"/>
    <row r="28" spans="2:3" ht="22.5" customHeight="1">
      <c r="C28" s="211" t="s">
        <v>375</v>
      </c>
    </row>
    <row r="29" spans="2:3" s="17" customFormat="1" ht="15" customHeight="1">
      <c r="C29" s="207"/>
    </row>
  </sheetData>
  <sheetProtection password="C1FB" sheet="1" objects="1" scenarios="1" selectLockedCells="1"/>
  <mergeCells count="13">
    <mergeCell ref="C21:C22"/>
    <mergeCell ref="B18:C18"/>
    <mergeCell ref="B19:C19"/>
    <mergeCell ref="B12:C12"/>
    <mergeCell ref="B13:C13"/>
    <mergeCell ref="B15:C15"/>
    <mergeCell ref="B16:C16"/>
    <mergeCell ref="B17:C17"/>
    <mergeCell ref="B3:C3"/>
    <mergeCell ref="B4:B6"/>
    <mergeCell ref="B9:C9"/>
    <mergeCell ref="B8:C8"/>
    <mergeCell ref="B10:C10"/>
  </mergeCells>
  <hyperlinks>
    <hyperlink ref="B18" r:id="rId1"/>
    <hyperlink ref="C28" r:id="rId2"/>
    <hyperlink ref="C24" r:id="rId3"/>
    <hyperlink ref="D13" r:id="rId4"/>
  </hyperlinks>
  <pageMargins left="0.7" right="0.7" top="0.75" bottom="0.75" header="0.3" footer="0.3"/>
  <drawing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D37"/>
  <sheetViews>
    <sheetView showGridLines="0" workbookViewId="0">
      <selection activeCell="H12" sqref="H12:I12"/>
    </sheetView>
  </sheetViews>
  <sheetFormatPr defaultColWidth="0" defaultRowHeight="0" customHeight="1" zeroHeight="1"/>
  <cols>
    <col min="1" max="1" width="4.125" style="14" customWidth="1"/>
    <col min="2" max="2" width="17" style="14" customWidth="1"/>
    <col min="3" max="3" width="14.25" style="14" customWidth="1"/>
    <col min="4" max="4" width="15" style="14" customWidth="1"/>
    <col min="5" max="5" width="12" style="14" customWidth="1"/>
    <col min="6" max="6" width="16.375" style="14" customWidth="1"/>
    <col min="7" max="7" width="15.625" style="14" customWidth="1"/>
    <col min="8" max="8" width="17.125" style="14" customWidth="1"/>
    <col min="9" max="10" width="14.375" style="14" customWidth="1"/>
    <col min="11" max="11" width="15.75" style="14" customWidth="1"/>
    <col min="12" max="12" width="15.125" style="14" customWidth="1"/>
    <col min="13" max="13" width="14.125" style="14" customWidth="1"/>
    <col min="14" max="14" width="17.625" style="14" customWidth="1"/>
    <col min="15" max="15" width="11.125" style="14" customWidth="1"/>
    <col min="16" max="30" width="0" style="14" hidden="1" customWidth="1"/>
    <col min="31" max="16384" width="9.125" style="14" hidden="1"/>
  </cols>
  <sheetData>
    <row r="1" spans="1:30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AC1" s="161">
        <v>1</v>
      </c>
      <c r="AD1" s="96">
        <v>43922</v>
      </c>
    </row>
    <row r="2" spans="1:30" ht="24.75" thickTop="1" thickBot="1">
      <c r="A2" s="1"/>
      <c r="B2" s="278" t="s">
        <v>381</v>
      </c>
      <c r="C2" s="279"/>
      <c r="D2" s="280"/>
      <c r="E2" s="276" t="s">
        <v>0</v>
      </c>
      <c r="F2" s="277"/>
      <c r="G2" s="277"/>
      <c r="H2" s="277"/>
      <c r="I2" s="12"/>
      <c r="J2" s="95"/>
      <c r="K2" s="95"/>
      <c r="L2" s="95"/>
      <c r="M2" s="1"/>
      <c r="N2" s="1"/>
      <c r="O2" s="1"/>
      <c r="T2" s="14" t="s">
        <v>17</v>
      </c>
      <c r="U2" s="14">
        <v>20</v>
      </c>
      <c r="AA2" s="96">
        <v>43678</v>
      </c>
      <c r="AC2" s="161">
        <v>2</v>
      </c>
      <c r="AD2" s="96">
        <v>43952</v>
      </c>
    </row>
    <row r="3" spans="1:30" ht="14.25" customHeight="1" thickBot="1">
      <c r="A3" s="1"/>
      <c r="B3" s="3"/>
      <c r="C3" s="3"/>
      <c r="D3" s="12"/>
      <c r="E3" s="12"/>
      <c r="F3" s="20"/>
      <c r="G3" s="20"/>
      <c r="H3" s="20"/>
      <c r="I3" s="12"/>
      <c r="J3" s="95"/>
      <c r="K3" s="95"/>
      <c r="L3" s="95"/>
      <c r="M3" s="1"/>
      <c r="N3" s="1"/>
      <c r="O3" s="1"/>
      <c r="AA3" s="96"/>
      <c r="AC3" s="161">
        <v>3</v>
      </c>
      <c r="AD3" s="96">
        <v>43983</v>
      </c>
    </row>
    <row r="4" spans="1:30" ht="22.5" thickTop="1" thickBot="1">
      <c r="A4" s="1"/>
      <c r="B4" s="267" t="s">
        <v>35</v>
      </c>
      <c r="C4" s="267"/>
      <c r="D4" s="291" t="s">
        <v>424</v>
      </c>
      <c r="E4" s="292"/>
      <c r="F4" s="292"/>
      <c r="G4" s="292"/>
      <c r="H4" s="292"/>
      <c r="I4" s="292"/>
      <c r="J4" s="2"/>
      <c r="K4" s="289"/>
      <c r="L4" s="289"/>
      <c r="M4" s="289"/>
      <c r="N4" s="289"/>
      <c r="O4" s="1"/>
      <c r="T4" s="14" t="s">
        <v>19</v>
      </c>
      <c r="X4" s="14">
        <v>1000</v>
      </c>
      <c r="AA4" s="96">
        <v>43709</v>
      </c>
      <c r="AC4" s="161">
        <v>4</v>
      </c>
      <c r="AD4" s="96">
        <v>44013</v>
      </c>
    </row>
    <row r="5" spans="1:30" ht="8.1" customHeight="1" thickTop="1" thickBot="1">
      <c r="A5" s="97"/>
      <c r="B5" s="98"/>
      <c r="C5" s="98"/>
      <c r="D5" s="99"/>
      <c r="E5" s="99"/>
      <c r="F5" s="99"/>
      <c r="G5" s="99"/>
      <c r="H5" s="99"/>
      <c r="I5" s="99"/>
      <c r="J5" s="4"/>
      <c r="K5" s="91"/>
      <c r="L5" s="91"/>
      <c r="M5" s="91"/>
      <c r="N5" s="91"/>
      <c r="O5" s="1"/>
      <c r="AA5" s="96"/>
      <c r="AC5" s="161">
        <v>5</v>
      </c>
      <c r="AD5" s="96">
        <v>44044</v>
      </c>
    </row>
    <row r="6" spans="1:30" ht="22.5" thickTop="1" thickBot="1">
      <c r="A6" s="1"/>
      <c r="B6" s="267" t="s">
        <v>36</v>
      </c>
      <c r="C6" s="267"/>
      <c r="D6" s="290" t="s">
        <v>20</v>
      </c>
      <c r="E6" s="290"/>
      <c r="F6" s="269" t="s">
        <v>21</v>
      </c>
      <c r="G6" s="269"/>
      <c r="H6" s="268" t="s">
        <v>421</v>
      </c>
      <c r="I6" s="268"/>
      <c r="J6" s="2"/>
      <c r="K6" s="1"/>
      <c r="L6" s="1"/>
      <c r="M6" s="1"/>
      <c r="N6" s="1"/>
      <c r="O6" s="1"/>
      <c r="T6" s="14" t="s">
        <v>22</v>
      </c>
      <c r="X6" s="14">
        <v>620</v>
      </c>
      <c r="AA6" s="96">
        <v>43739</v>
      </c>
      <c r="AC6" s="161">
        <v>6</v>
      </c>
      <c r="AD6" s="96">
        <v>44075</v>
      </c>
    </row>
    <row r="7" spans="1:30" ht="8.1" customHeight="1" thickTop="1" thickBot="1">
      <c r="A7" s="97"/>
      <c r="B7" s="98"/>
      <c r="C7" s="98"/>
      <c r="D7" s="100"/>
      <c r="E7" s="100"/>
      <c r="F7" s="98"/>
      <c r="G7" s="98"/>
      <c r="H7" s="100"/>
      <c r="I7" s="100"/>
      <c r="J7" s="4"/>
      <c r="K7" s="1"/>
      <c r="L7" s="1"/>
      <c r="M7" s="1"/>
      <c r="N7" s="1"/>
      <c r="O7" s="1"/>
      <c r="AA7" s="96"/>
      <c r="AC7" s="161">
        <v>7</v>
      </c>
      <c r="AD7" s="96">
        <v>44105</v>
      </c>
    </row>
    <row r="8" spans="1:30" ht="20.25" thickTop="1" thickBot="1">
      <c r="A8" s="1"/>
      <c r="B8" s="267" t="s">
        <v>38</v>
      </c>
      <c r="C8" s="267" t="s">
        <v>23</v>
      </c>
      <c r="D8" s="281" t="s">
        <v>423</v>
      </c>
      <c r="E8" s="282"/>
      <c r="F8" s="269" t="s">
        <v>24</v>
      </c>
      <c r="G8" s="269"/>
      <c r="H8" s="268" t="s">
        <v>419</v>
      </c>
      <c r="I8" s="268"/>
      <c r="J8" s="2"/>
      <c r="K8" s="1"/>
      <c r="L8" s="1"/>
      <c r="M8" s="1"/>
      <c r="N8" s="1"/>
      <c r="O8" s="1"/>
      <c r="T8" s="14" t="s">
        <v>25</v>
      </c>
      <c r="AA8" s="96">
        <v>43770</v>
      </c>
      <c r="AC8" s="161">
        <v>8</v>
      </c>
      <c r="AD8" s="96">
        <v>44136</v>
      </c>
    </row>
    <row r="9" spans="1:30" ht="8.1" customHeight="1" thickTop="1" thickBot="1">
      <c r="A9" s="97"/>
      <c r="B9" s="98"/>
      <c r="C9" s="98"/>
      <c r="D9" s="100"/>
      <c r="E9" s="100"/>
      <c r="F9" s="98"/>
      <c r="G9" s="98"/>
      <c r="H9" s="100"/>
      <c r="I9" s="100"/>
      <c r="J9" s="4"/>
      <c r="K9" s="1"/>
      <c r="L9" s="1"/>
      <c r="M9" s="1"/>
      <c r="N9" s="1"/>
      <c r="O9" s="1"/>
      <c r="AA9" s="96"/>
      <c r="AC9" s="161">
        <v>9</v>
      </c>
      <c r="AD9" s="96">
        <v>44166</v>
      </c>
    </row>
    <row r="10" spans="1:30" ht="22.5" thickTop="1" thickBot="1">
      <c r="A10" s="1"/>
      <c r="B10" s="275" t="s">
        <v>420</v>
      </c>
      <c r="C10" s="267"/>
      <c r="D10" s="283">
        <v>390263384</v>
      </c>
      <c r="E10" s="283"/>
      <c r="F10" s="269" t="s">
        <v>26</v>
      </c>
      <c r="G10" s="269"/>
      <c r="H10" s="284">
        <v>123465471475</v>
      </c>
      <c r="I10" s="284"/>
      <c r="J10" s="2"/>
      <c r="K10" s="8"/>
      <c r="L10" s="8"/>
      <c r="M10" s="8"/>
      <c r="N10" s="1"/>
      <c r="O10" s="1"/>
      <c r="T10" s="14" t="s">
        <v>2</v>
      </c>
      <c r="AA10" s="96">
        <v>43800</v>
      </c>
      <c r="AC10" s="161">
        <v>10</v>
      </c>
      <c r="AD10" s="96">
        <v>44197</v>
      </c>
    </row>
    <row r="11" spans="1:30" ht="8.1" customHeight="1" thickTop="1" thickBot="1">
      <c r="A11" s="97"/>
      <c r="B11" s="98"/>
      <c r="C11" s="98"/>
      <c r="D11" s="100"/>
      <c r="E11" s="100"/>
      <c r="F11" s="98"/>
      <c r="G11" s="98"/>
      <c r="H11" s="101"/>
      <c r="I11" s="101"/>
      <c r="J11" s="4"/>
      <c r="K11" s="8"/>
      <c r="L11" s="8"/>
      <c r="M11" s="8"/>
      <c r="N11" s="1"/>
      <c r="O11" s="1"/>
      <c r="AA11" s="96"/>
      <c r="AC11" s="161">
        <v>11</v>
      </c>
      <c r="AD11" s="96">
        <v>44228</v>
      </c>
    </row>
    <row r="12" spans="1:30" ht="22.5" thickTop="1" thickBot="1">
      <c r="A12" s="1"/>
      <c r="B12" s="267" t="s">
        <v>37</v>
      </c>
      <c r="C12" s="267"/>
      <c r="D12" s="274" t="s">
        <v>209</v>
      </c>
      <c r="E12" s="274"/>
      <c r="F12" s="269" t="s">
        <v>27</v>
      </c>
      <c r="G12" s="269"/>
      <c r="H12" s="268"/>
      <c r="I12" s="268"/>
      <c r="J12" s="2"/>
      <c r="K12" s="272"/>
      <c r="L12" s="272"/>
      <c r="M12" s="272"/>
      <c r="N12" s="272"/>
      <c r="O12" s="1"/>
      <c r="T12" s="14" t="s">
        <v>28</v>
      </c>
      <c r="AA12" s="96">
        <v>43831</v>
      </c>
      <c r="AC12" s="161">
        <v>12</v>
      </c>
      <c r="AD12" s="96"/>
    </row>
    <row r="13" spans="1:30" ht="8.1" customHeight="1" thickTop="1" thickBot="1">
      <c r="A13" s="97"/>
      <c r="B13" s="98"/>
      <c r="C13" s="98"/>
      <c r="D13" s="102"/>
      <c r="E13" s="102"/>
      <c r="F13" s="98"/>
      <c r="G13" s="98"/>
      <c r="H13" s="100"/>
      <c r="I13" s="100"/>
      <c r="J13" s="4"/>
      <c r="K13" s="90"/>
      <c r="L13" s="90"/>
      <c r="M13" s="90"/>
      <c r="N13" s="90"/>
      <c r="O13" s="1"/>
      <c r="AA13" s="96"/>
      <c r="AC13" s="161"/>
    </row>
    <row r="14" spans="1:30" ht="22.5" thickTop="1" thickBot="1">
      <c r="A14" s="1"/>
      <c r="B14" s="267" t="s">
        <v>29</v>
      </c>
      <c r="C14" s="267"/>
      <c r="D14" s="268">
        <v>11</v>
      </c>
      <c r="E14" s="268"/>
      <c r="F14" s="269" t="s">
        <v>30</v>
      </c>
      <c r="G14" s="269"/>
      <c r="H14" s="268">
        <v>123456</v>
      </c>
      <c r="I14" s="268"/>
      <c r="J14" s="2"/>
      <c r="K14" s="8"/>
      <c r="L14" s="8"/>
      <c r="M14" s="8"/>
      <c r="N14" s="1"/>
      <c r="O14" s="1"/>
      <c r="T14" s="14" t="s">
        <v>31</v>
      </c>
      <c r="AA14" s="96">
        <v>43862</v>
      </c>
    </row>
    <row r="15" spans="1:30" ht="8.1" customHeight="1" thickTop="1" thickBot="1">
      <c r="A15" s="97"/>
      <c r="B15" s="98"/>
      <c r="C15" s="98"/>
      <c r="D15" s="100"/>
      <c r="E15" s="100"/>
      <c r="F15" s="98"/>
      <c r="G15" s="98"/>
      <c r="H15" s="100"/>
      <c r="I15" s="100"/>
      <c r="J15" s="4"/>
      <c r="K15" s="8"/>
      <c r="L15" s="8"/>
      <c r="M15" s="8"/>
      <c r="N15" s="1"/>
      <c r="O15" s="1"/>
      <c r="AA15" s="96"/>
    </row>
    <row r="16" spans="1:30" ht="22.5" thickTop="1" thickBot="1">
      <c r="A16" s="1"/>
      <c r="B16" s="267" t="s">
        <v>32</v>
      </c>
      <c r="C16" s="267"/>
      <c r="D16" s="270">
        <v>110161963331</v>
      </c>
      <c r="E16" s="270"/>
      <c r="F16" s="267" t="s">
        <v>33</v>
      </c>
      <c r="G16" s="267"/>
      <c r="H16" s="270">
        <v>121212121212121</v>
      </c>
      <c r="I16" s="270"/>
      <c r="J16" s="9"/>
      <c r="K16" s="9"/>
      <c r="L16" s="9"/>
      <c r="M16" s="9"/>
      <c r="N16" s="9"/>
      <c r="O16" s="1"/>
    </row>
    <row r="17" spans="1:29" ht="8.1" customHeight="1" thickTop="1" thickBot="1">
      <c r="A17" s="97"/>
      <c r="B17" s="98"/>
      <c r="C17" s="98"/>
      <c r="D17" s="100"/>
      <c r="E17" s="100"/>
      <c r="F17" s="98"/>
      <c r="G17" s="98"/>
      <c r="H17" s="99"/>
      <c r="I17" s="99"/>
      <c r="J17" s="9"/>
      <c r="K17" s="9"/>
      <c r="L17" s="9"/>
      <c r="M17" s="9"/>
      <c r="N17" s="9"/>
      <c r="O17" s="1"/>
    </row>
    <row r="18" spans="1:29" ht="21.75" customHeight="1" thickTop="1" thickBot="1">
      <c r="A18" s="1"/>
      <c r="B18" s="267" t="s">
        <v>429</v>
      </c>
      <c r="C18" s="267"/>
      <c r="D18" s="268" t="s">
        <v>7</v>
      </c>
      <c r="E18" s="268"/>
      <c r="F18" s="269" t="s">
        <v>395</v>
      </c>
      <c r="G18" s="269"/>
      <c r="H18" s="268" t="s">
        <v>422</v>
      </c>
      <c r="I18" s="268"/>
      <c r="J18" s="2"/>
      <c r="K18" s="273" t="s">
        <v>18</v>
      </c>
      <c r="L18" s="273"/>
      <c r="M18" s="273"/>
      <c r="N18" s="273"/>
      <c r="O18" s="1"/>
      <c r="S18" s="14" t="s">
        <v>1</v>
      </c>
      <c r="T18" s="223" t="s">
        <v>7</v>
      </c>
      <c r="U18" s="14">
        <v>8</v>
      </c>
      <c r="V18" s="14" t="s">
        <v>4</v>
      </c>
      <c r="W18" s="14" t="s">
        <v>5</v>
      </c>
      <c r="Y18" s="14" t="s">
        <v>6</v>
      </c>
    </row>
    <row r="19" spans="1:29" ht="9.75" customHeight="1" thickTop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97"/>
      <c r="N19" s="97"/>
      <c r="O19" s="97"/>
      <c r="P19" s="18"/>
      <c r="Q19" s="18"/>
      <c r="R19" s="18"/>
      <c r="S19" s="14" t="s">
        <v>8</v>
      </c>
      <c r="T19" s="15" t="s">
        <v>46</v>
      </c>
      <c r="U19" s="14">
        <v>9</v>
      </c>
      <c r="V19" s="14" t="s">
        <v>9</v>
      </c>
      <c r="W19" s="14" t="s">
        <v>10</v>
      </c>
      <c r="Y19" s="14" t="s">
        <v>11</v>
      </c>
      <c r="Z19" s="18"/>
      <c r="AA19" s="18"/>
      <c r="AB19" s="18"/>
      <c r="AC19" s="18"/>
    </row>
    <row r="20" spans="1:29" ht="26.25" customHeight="1">
      <c r="A20" s="1"/>
      <c r="B20" s="1"/>
      <c r="C20" s="1"/>
      <c r="D20" s="1"/>
      <c r="E20" s="286" t="s">
        <v>210</v>
      </c>
      <c r="F20" s="287"/>
      <c r="G20" s="287"/>
      <c r="H20" s="288"/>
      <c r="I20" s="1"/>
      <c r="J20" s="97"/>
      <c r="K20" s="97"/>
      <c r="L20" s="97"/>
      <c r="M20" s="97"/>
      <c r="N20" s="97"/>
      <c r="O20" s="97"/>
      <c r="P20" s="18"/>
      <c r="Q20" s="18"/>
      <c r="R20" s="18"/>
      <c r="T20" s="15" t="s">
        <v>219</v>
      </c>
      <c r="Z20" s="18"/>
      <c r="AA20" s="18"/>
      <c r="AB20" s="18"/>
      <c r="AC20" s="18"/>
    </row>
    <row r="21" spans="1:29" ht="8.25" customHeight="1">
      <c r="A21" s="1"/>
      <c r="B21" s="1"/>
      <c r="C21" s="1"/>
      <c r="D21" s="1"/>
      <c r="E21" s="1"/>
      <c r="F21" s="1"/>
      <c r="G21" s="1"/>
      <c r="H21" s="1"/>
      <c r="I21" s="1"/>
      <c r="J21" s="97"/>
      <c r="K21" s="97"/>
      <c r="L21" s="97"/>
      <c r="M21" s="97"/>
      <c r="N21" s="97"/>
      <c r="O21" s="97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</row>
    <row r="22" spans="1:29" ht="8.1" customHeight="1" thickBot="1">
      <c r="A22" s="97"/>
      <c r="B22" s="103"/>
      <c r="C22" s="103"/>
      <c r="D22" s="103"/>
      <c r="E22" s="107"/>
      <c r="F22" s="105"/>
      <c r="G22" s="105"/>
      <c r="H22" s="105"/>
      <c r="I22" s="104"/>
      <c r="J22" s="106"/>
      <c r="K22" s="225"/>
      <c r="L22" s="225"/>
      <c r="M22" s="225"/>
      <c r="N22" s="225"/>
      <c r="O22" s="97"/>
      <c r="AA22" s="96"/>
    </row>
    <row r="23" spans="1:29" ht="22.5" thickTop="1" thickBot="1">
      <c r="A23" s="1"/>
      <c r="B23" s="285" t="s">
        <v>12</v>
      </c>
      <c r="C23" s="285" t="s">
        <v>12</v>
      </c>
      <c r="D23" s="285"/>
      <c r="E23" s="10">
        <v>0</v>
      </c>
      <c r="F23" s="296" t="s">
        <v>13</v>
      </c>
      <c r="G23" s="296"/>
      <c r="H23" s="296"/>
      <c r="I23" s="224" t="s">
        <v>6</v>
      </c>
      <c r="J23" s="226"/>
      <c r="K23" s="228"/>
      <c r="L23" s="228"/>
      <c r="M23" s="228"/>
      <c r="N23" s="229"/>
      <c r="O23" s="97"/>
      <c r="AA23" s="96"/>
    </row>
    <row r="24" spans="1:29" ht="8.1" customHeight="1" thickTop="1" thickBot="1">
      <c r="A24" s="97"/>
      <c r="B24" s="105"/>
      <c r="C24" s="105"/>
      <c r="D24" s="105"/>
      <c r="E24" s="104"/>
      <c r="F24" s="105"/>
      <c r="G24" s="105"/>
      <c r="H24" s="105"/>
      <c r="I24" s="108"/>
      <c r="J24" s="4"/>
      <c r="K24" s="228"/>
      <c r="L24" s="228"/>
      <c r="M24" s="228"/>
      <c r="N24" s="229"/>
      <c r="O24" s="97"/>
      <c r="AA24" s="96"/>
    </row>
    <row r="25" spans="1:29" ht="22.5" thickTop="1" thickBot="1">
      <c r="A25" s="1"/>
      <c r="B25" s="285" t="s">
        <v>39</v>
      </c>
      <c r="C25" s="285"/>
      <c r="D25" s="285"/>
      <c r="E25" s="11">
        <v>8</v>
      </c>
      <c r="F25" s="295" t="s">
        <v>40</v>
      </c>
      <c r="G25" s="295"/>
      <c r="H25" s="295"/>
      <c r="I25" s="224" t="s">
        <v>9</v>
      </c>
      <c r="J25" s="4"/>
      <c r="K25" s="109"/>
      <c r="L25" s="226"/>
      <c r="M25" s="227"/>
      <c r="N25" s="97"/>
      <c r="O25" s="97"/>
      <c r="AA25" s="14" t="s">
        <v>3</v>
      </c>
      <c r="AB25" s="16">
        <v>43891</v>
      </c>
    </row>
    <row r="26" spans="1:29" ht="8.1" customHeight="1" thickTop="1" thickBot="1">
      <c r="A26" s="97"/>
      <c r="B26" s="105"/>
      <c r="C26" s="105"/>
      <c r="D26" s="105"/>
      <c r="E26" s="110"/>
      <c r="F26" s="111"/>
      <c r="G26" s="105"/>
      <c r="H26" s="105"/>
      <c r="I26" s="108"/>
      <c r="J26" s="4"/>
      <c r="K26" s="228"/>
      <c r="L26" s="228"/>
      <c r="M26" s="228"/>
      <c r="N26" s="229"/>
      <c r="O26" s="97"/>
      <c r="AA26" s="14" t="s">
        <v>47</v>
      </c>
      <c r="AB26" s="16">
        <v>43922</v>
      </c>
    </row>
    <row r="27" spans="1:29" ht="22.5" thickTop="1" thickBot="1">
      <c r="A27" s="13"/>
      <c r="B27" s="293" t="s">
        <v>437</v>
      </c>
      <c r="C27" s="285"/>
      <c r="D27" s="285"/>
      <c r="E27" s="294">
        <v>28514</v>
      </c>
      <c r="F27" s="294"/>
      <c r="G27" s="5"/>
      <c r="H27" s="5"/>
      <c r="I27" s="5"/>
      <c r="J27" s="5"/>
      <c r="K27" s="5"/>
      <c r="L27" s="5"/>
      <c r="M27" s="6"/>
      <c r="N27" s="6"/>
      <c r="O27" s="6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14" t="s">
        <v>14</v>
      </c>
      <c r="AB27" s="16">
        <v>43952</v>
      </c>
      <c r="AC27" s="18"/>
    </row>
    <row r="28" spans="1:29" ht="21" customHeight="1" thickTop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AA28" s="14" t="s">
        <v>15</v>
      </c>
      <c r="AB28" s="16">
        <v>43983</v>
      </c>
    </row>
    <row r="29" spans="1:29" ht="30" customHeight="1">
      <c r="A29" s="1"/>
      <c r="B29" s="1"/>
      <c r="C29" s="271" t="s">
        <v>41</v>
      </c>
      <c r="D29" s="271"/>
      <c r="E29" s="271"/>
      <c r="F29" s="271"/>
      <c r="G29" s="271"/>
      <c r="H29" s="271"/>
      <c r="I29" s="271"/>
      <c r="J29" s="271"/>
      <c r="K29" s="271"/>
      <c r="L29" s="1"/>
      <c r="M29" s="1"/>
      <c r="N29" s="1"/>
      <c r="O29" s="1"/>
      <c r="AA29" s="14" t="s">
        <v>16</v>
      </c>
      <c r="AB29" s="16">
        <v>44013</v>
      </c>
    </row>
    <row r="30" spans="1:29" ht="25.5" customHeight="1">
      <c r="A30" s="1"/>
      <c r="B30" s="1"/>
      <c r="C30" s="1"/>
      <c r="D30" s="1"/>
      <c r="E30" s="1"/>
      <c r="F30" s="266" t="s">
        <v>52</v>
      </c>
      <c r="G30" s="266"/>
      <c r="H30" s="266"/>
      <c r="I30" s="1"/>
      <c r="J30" s="1"/>
      <c r="K30" s="1"/>
      <c r="L30" s="1"/>
      <c r="M30" s="1"/>
      <c r="N30" s="1"/>
      <c r="O30" s="1"/>
      <c r="AA30" s="14" t="s">
        <v>17</v>
      </c>
      <c r="AB30" s="16">
        <v>44044</v>
      </c>
    </row>
    <row r="31" spans="1:29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AA31" s="14" t="s">
        <v>19</v>
      </c>
      <c r="AB31" s="16">
        <v>44075</v>
      </c>
    </row>
    <row r="32" spans="1:29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AA32" s="14" t="s">
        <v>22</v>
      </c>
      <c r="AB32" s="16">
        <v>44105</v>
      </c>
    </row>
    <row r="33" spans="1:28" ht="1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AA33" s="14" t="s">
        <v>25</v>
      </c>
      <c r="AB33" s="16">
        <v>44136</v>
      </c>
    </row>
    <row r="34" spans="1:28" ht="1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AA34" s="14" t="s">
        <v>2</v>
      </c>
      <c r="AB34" s="16">
        <v>44166</v>
      </c>
    </row>
    <row r="35" spans="1:28" ht="1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AA35" s="14" t="s">
        <v>28</v>
      </c>
      <c r="AB35" s="16">
        <v>44197</v>
      </c>
    </row>
    <row r="36" spans="1:28" ht="1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AA36" s="14" t="s">
        <v>31</v>
      </c>
      <c r="AB36" s="16">
        <v>44228</v>
      </c>
    </row>
    <row r="37" spans="1:28" ht="1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</sheetData>
  <sheetProtection password="C1FB" sheet="1" objects="1" scenarios="1" selectLockedCells="1"/>
  <mergeCells count="44">
    <mergeCell ref="B27:D27"/>
    <mergeCell ref="E27:F27"/>
    <mergeCell ref="F25:H25"/>
    <mergeCell ref="F23:H23"/>
    <mergeCell ref="B25:D25"/>
    <mergeCell ref="K4:N4"/>
    <mergeCell ref="B6:C6"/>
    <mergeCell ref="D6:E6"/>
    <mergeCell ref="F6:G6"/>
    <mergeCell ref="H6:I6"/>
    <mergeCell ref="B4:C4"/>
    <mergeCell ref="D4:I4"/>
    <mergeCell ref="B12:C12"/>
    <mergeCell ref="B23:D23"/>
    <mergeCell ref="E20:H20"/>
    <mergeCell ref="F18:G18"/>
    <mergeCell ref="H18:I18"/>
    <mergeCell ref="F16:G16"/>
    <mergeCell ref="H16:I16"/>
    <mergeCell ref="B10:C10"/>
    <mergeCell ref="E2:H2"/>
    <mergeCell ref="B2:D2"/>
    <mergeCell ref="D8:E8"/>
    <mergeCell ref="F8:G8"/>
    <mergeCell ref="H8:I8"/>
    <mergeCell ref="D10:E10"/>
    <mergeCell ref="F10:G10"/>
    <mergeCell ref="H10:I10"/>
    <mergeCell ref="F30:H30"/>
    <mergeCell ref="B8:C8"/>
    <mergeCell ref="B14:C14"/>
    <mergeCell ref="D14:E14"/>
    <mergeCell ref="F14:G14"/>
    <mergeCell ref="H14:I14"/>
    <mergeCell ref="B16:C16"/>
    <mergeCell ref="D16:E16"/>
    <mergeCell ref="B18:C18"/>
    <mergeCell ref="D18:E18"/>
    <mergeCell ref="C29:K29"/>
    <mergeCell ref="K12:N12"/>
    <mergeCell ref="K18:N18"/>
    <mergeCell ref="D12:E12"/>
    <mergeCell ref="F12:G12"/>
    <mergeCell ref="H12:I12"/>
  </mergeCells>
  <dataValidations count="25">
    <dataValidation type="custom" allowBlank="1" showInputMessage="1" showErrorMessage="1" sqref="D5:I5">
      <formula1>ISTEXT(D5:I5)=TRUE</formula1>
    </dataValidation>
    <dataValidation type="list" allowBlank="1" showInputMessage="1" showErrorMessage="1" sqref="I26">
      <formula1>gp</formula1>
    </dataValidation>
    <dataValidation type="list" allowBlank="1" showInputMessage="1" showErrorMessage="1" sqref="I24">
      <formula1>pay</formula1>
    </dataValidation>
    <dataValidation type="list" allowBlank="1" showInputMessage="1" showErrorMessage="1" sqref="E26">
      <formula1>"8,16,20,25"</formula1>
    </dataValidation>
    <dataValidation type="list" allowBlank="1" showInputMessage="1" showErrorMessage="1" sqref="E22">
      <formula1>"Under 60, Above 60"</formula1>
    </dataValidation>
    <dataValidation type="list" allowBlank="1" showInputMessage="1" showErrorMessage="1" error="केवल हाँ अथवा ना सलेक्ट करें।" sqref="I22">
      <formula1>ye</formula1>
    </dataValidation>
    <dataValidation type="custom" allowBlank="1" showInputMessage="1" showErrorMessage="1" sqref="E24">
      <formula1>ISNUMBER(E24)=TRUE</formula1>
    </dataValidation>
    <dataValidation type="list" allowBlank="1" showInputMessage="1" showErrorMessage="1" errorTitle="Select GPF / NPS" error="सलेक्ट बटन में से GPF / NPS  चुनें।  " sqref="I25">
      <formula1>gp</formula1>
    </dataValidation>
    <dataValidation type="list" allowBlank="1" showInputMessage="1" showErrorMessage="1" errorTitle="Select Regular Pay / Fix Pay" error="सलेक्ट बटन में से Regular Pay / Fix Pay  चुनें।  " sqref="I23">
      <formula1>pay</formula1>
    </dataValidation>
    <dataValidation type="whole" allowBlank="1" showInputMessage="1" showErrorMessage="1" errorTitle="write here Only in Digit " error="श्रीमान जी आप केवल 0 से 6 तक नंबर में  ही महीने लिख सकते है " sqref="N23:N24">
      <formula1>0</formula1>
      <formula2>6</formula2>
    </dataValidation>
    <dataValidation type="whole" allowBlank="1" showInputMessage="1" showErrorMessage="1" errorTitle="write here Only in Digit" error="श्रीमान जी आप केवल 0 से 12 तक नंबर में  ही महीने लिख सकते है " sqref="N26">
      <formula1>0</formula1>
      <formula2>12</formula2>
    </dataValidation>
    <dataValidation type="whole" operator="lessThanOrEqual" allowBlank="1" showInputMessage="1" showErrorMessage="1" errorTitle="Write in Digit" error="विकलांग भत्ता अधिकतम 600 रुपये ही मिलता है।  " sqref="E23">
      <formula1>600</formula1>
    </dataValidation>
    <dataValidation type="custom" allowBlank="1" showInputMessage="1" showErrorMessage="1" errorTitle="Please write in Text" error="अरे भाई नाम लिखना हैं ...!   Text में लिखों। " sqref="D6:E7">
      <formula1>ISTEXT(D6)=TRUE</formula1>
    </dataValidation>
    <dataValidation type="textLength" operator="equal" allowBlank="1" showInputMessage="1" showErrorMessage="1" errorTitle="Hello Bhai" error="यहाँ पर 12 अंको में आधार नंबर लिखने है " sqref="H10:I11">
      <formula1>12</formula1>
    </dataValidation>
    <dataValidation type="custom" allowBlank="1" showInputMessage="1" showErrorMessage="1" sqref="D4:I4 D17:E17">
      <formula1>ISTEXT(D4)=TRUE</formula1>
    </dataValidation>
    <dataValidation type="custom" allowBlank="1" showInputMessage="1" showErrorMessage="1" errorTitle="Write in Words" error="स्कूल का नाम शब्दों में लिखों सा । " sqref="D8:E9">
      <formula1>ISTEXT(D8)=TRUE</formula1>
    </dataValidation>
    <dataValidation type="custom" allowBlank="1" showInputMessage="1" showErrorMessage="1" errorTitle="Write DDO Name in Words" error="डीडीओ साहब का नाम शब्दों में आयेगा सा । " sqref="H8:I9">
      <formula1>ISTEXT(H8)=TRUE</formula1>
    </dataValidation>
    <dataValidation type="custom" allowBlank="1" showInputMessage="1" showErrorMessage="1" errorTitle="SI No. Write in Digit" error="सर जी  SI  नंबर अंकों में लिखें जायेंगे।  " sqref="H14:I15">
      <formula1>ISNUMBER(H14)=TRUE</formula1>
    </dataValidation>
    <dataValidation type="custom" allowBlank="1" showInputMessage="1" showErrorMessage="1" errorTitle="Write in Words" error="पद को शब्दों में लिखों सा । " sqref="H6:I7">
      <formula1>ISTEXT(H6)=TRUE</formula1>
    </dataValidation>
    <dataValidation type="custom" allowBlank="1" showInputMessage="1" showErrorMessage="1" errorTitle="GPF No. Write in Digit" error="भाई साहब GPF नंबर अंकों में लिखते हैं ।" sqref="D14:E15">
      <formula1>ISNUMBER(D14)=TRUE</formula1>
    </dataValidation>
    <dataValidation type="list" allowBlank="1" showInputMessage="1" showErrorMessage="1" errorTitle="Select Age Group" error="यहाँ आयु वर्ग को सलेक्ट करें।" sqref="D18:E18">
      <formula1>und</formula1>
    </dataValidation>
    <dataValidation type="textLength" operator="lessThanOrEqual" allowBlank="1" showInputMessage="1" showErrorMessage="1" errorTitle="write employee ID" error="भाई साहब  एम्प्लोयी आई डी 14 डिजिट तक ही होती है। " sqref="D10:E10">
      <formula1>14</formula1>
    </dataValidation>
    <dataValidation type="textLength" operator="equal" allowBlank="1" showInputMessage="1" showErrorMessage="1" errorTitle="Write PAN no. 10 Digit" error="भाई साहब  पैन नंबर 10 डिजिट में  लिखे जायेंगे ।" sqref="D12:E12">
      <formula1>10</formula1>
    </dataValidation>
    <dataValidation type="custom" allowBlank="1" showInputMessage="1" showErrorMessage="1" errorTitle="Fill here PRAN No." error="write here  PRAN No. in Digit" sqref="D16:E16">
      <formula1>ISNUMBER(D16)=TRUE</formula1>
    </dataValidation>
    <dataValidation type="custom" allowBlank="1" showInputMessage="1" showErrorMessage="1" errorTitle="Fill here A./ C. No." error="write here  Bank Account No. in Digit" sqref="H16:I16">
      <formula1>ISNUMBER(H16)=TRUE</formula1>
    </dataValidation>
  </dataValidations>
  <hyperlinks>
    <hyperlink ref="B2" r:id="rId1"/>
  </hyperlinks>
  <pageMargins left="0.7" right="0.7" top="0.75" bottom="0.75" header="0.3" footer="0.3"/>
  <pageSetup orientation="portrait" horizontalDpi="300" verticalDpi="0" copies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29"/>
  <sheetViews>
    <sheetView showGridLines="0" showRowColHeaders="0" workbookViewId="0">
      <selection activeCell="E22" sqref="E22"/>
    </sheetView>
  </sheetViews>
  <sheetFormatPr defaultColWidth="0" defaultRowHeight="15" zeroHeight="1"/>
  <cols>
    <col min="1" max="1" width="9" style="14" customWidth="1"/>
    <col min="2" max="2" width="3.5" style="14" customWidth="1"/>
    <col min="3" max="3" width="59" style="14" customWidth="1"/>
    <col min="4" max="4" width="6.25" style="14" customWidth="1"/>
    <col min="5" max="5" width="18.625" style="14" customWidth="1"/>
    <col min="6" max="6" width="3.375" style="14" customWidth="1"/>
    <col min="7" max="7" width="70.75" style="14" customWidth="1"/>
    <col min="8" max="8" width="8.125" style="14" customWidth="1"/>
    <col min="9" max="9" width="16.625" style="14" customWidth="1"/>
    <col min="10" max="10" width="3.375" style="14" customWidth="1"/>
    <col min="11" max="11" width="9" style="14" customWidth="1"/>
    <col min="12" max="16384" width="9" style="14" hidden="1"/>
  </cols>
  <sheetData>
    <row r="1" spans="1:11" ht="37.5" customHeight="1">
      <c r="A1" s="319" t="s">
        <v>383</v>
      </c>
      <c r="B1" s="320"/>
      <c r="C1" s="320"/>
      <c r="D1" s="112"/>
      <c r="E1" s="112"/>
      <c r="F1" s="112"/>
      <c r="G1" s="112"/>
      <c r="H1" s="112"/>
      <c r="I1" s="112"/>
      <c r="J1" s="112"/>
      <c r="K1" s="112"/>
    </row>
    <row r="2" spans="1:11" ht="18.75" customHeight="1">
      <c r="A2" s="112"/>
      <c r="B2" s="321" t="s">
        <v>384</v>
      </c>
      <c r="C2" s="321"/>
      <c r="D2" s="112"/>
      <c r="E2" s="112"/>
      <c r="F2" s="112"/>
      <c r="G2" s="112"/>
      <c r="H2" s="112"/>
      <c r="I2" s="112"/>
      <c r="J2" s="112"/>
      <c r="K2" s="112"/>
    </row>
    <row r="3" spans="1:11" ht="27" customHeight="1">
      <c r="A3" s="112"/>
      <c r="B3" s="112"/>
      <c r="C3" s="322" t="s">
        <v>53</v>
      </c>
      <c r="D3" s="322"/>
      <c r="E3" s="322"/>
      <c r="F3" s="322"/>
      <c r="G3" s="322"/>
      <c r="H3" s="322"/>
      <c r="I3" s="322"/>
      <c r="J3" s="112"/>
      <c r="K3" s="112"/>
    </row>
    <row r="4" spans="1:11" ht="15.7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1" ht="15.75" customHeight="1">
      <c r="A5" s="112"/>
      <c r="B5" s="113"/>
      <c r="C5" s="114"/>
      <c r="D5" s="114"/>
      <c r="E5" s="114"/>
      <c r="F5" s="114"/>
      <c r="G5" s="114"/>
      <c r="H5" s="114"/>
      <c r="I5" s="114"/>
      <c r="J5" s="113"/>
      <c r="K5" s="112"/>
    </row>
    <row r="6" spans="1:11" ht="24.95" customHeight="1">
      <c r="A6" s="112"/>
      <c r="B6" s="115"/>
      <c r="C6" s="297" t="s">
        <v>425</v>
      </c>
      <c r="D6" s="298"/>
      <c r="E6" s="232"/>
      <c r="F6" s="323"/>
      <c r="G6" s="301" t="s">
        <v>171</v>
      </c>
      <c r="H6" s="301"/>
      <c r="I6" s="116"/>
      <c r="J6" s="305"/>
      <c r="K6" s="112"/>
    </row>
    <row r="7" spans="1:11" ht="24.95" customHeight="1">
      <c r="A7" s="112"/>
      <c r="B7" s="115"/>
      <c r="C7" s="307" t="s">
        <v>161</v>
      </c>
      <c r="D7" s="308"/>
      <c r="E7" s="116">
        <v>50000</v>
      </c>
      <c r="F7" s="323"/>
      <c r="G7" s="326" t="s">
        <v>172</v>
      </c>
      <c r="H7" s="327"/>
      <c r="I7" s="116"/>
      <c r="J7" s="305"/>
      <c r="K7" s="112"/>
    </row>
    <row r="8" spans="1:11" ht="24.95" customHeight="1">
      <c r="A8" s="112"/>
      <c r="B8" s="115"/>
      <c r="C8" s="309" t="s">
        <v>162</v>
      </c>
      <c r="D8" s="310"/>
      <c r="E8" s="116"/>
      <c r="F8" s="323"/>
      <c r="G8" s="301" t="s">
        <v>193</v>
      </c>
      <c r="H8" s="301"/>
      <c r="I8" s="116"/>
      <c r="J8" s="305"/>
      <c r="K8" s="112"/>
    </row>
    <row r="9" spans="1:11" ht="24.95" customHeight="1">
      <c r="A9" s="112"/>
      <c r="B9" s="115"/>
      <c r="C9" s="309" t="s">
        <v>163</v>
      </c>
      <c r="D9" s="310"/>
      <c r="E9" s="116"/>
      <c r="F9" s="323"/>
      <c r="G9" s="301" t="s">
        <v>173</v>
      </c>
      <c r="H9" s="301"/>
      <c r="I9" s="116"/>
      <c r="J9" s="305"/>
      <c r="K9" s="112"/>
    </row>
    <row r="10" spans="1:11" ht="24.95" customHeight="1">
      <c r="A10" s="112"/>
      <c r="B10" s="115"/>
      <c r="C10" s="309" t="s">
        <v>164</v>
      </c>
      <c r="D10" s="310"/>
      <c r="E10" s="116"/>
      <c r="F10" s="323"/>
      <c r="G10" s="301" t="s">
        <v>194</v>
      </c>
      <c r="H10" s="301"/>
      <c r="I10" s="116"/>
      <c r="J10" s="305"/>
      <c r="K10" s="112"/>
    </row>
    <row r="11" spans="1:11" ht="33" customHeight="1">
      <c r="A11" s="112"/>
      <c r="B11" s="115"/>
      <c r="C11" s="309" t="s">
        <v>165</v>
      </c>
      <c r="D11" s="310"/>
      <c r="E11" s="116"/>
      <c r="F11" s="323"/>
      <c r="G11" s="324" t="s">
        <v>174</v>
      </c>
      <c r="H11" s="324"/>
      <c r="I11" s="116"/>
      <c r="J11" s="305"/>
      <c r="K11" s="112"/>
    </row>
    <row r="12" spans="1:11" ht="24.95" customHeight="1">
      <c r="A12" s="112"/>
      <c r="B12" s="115"/>
      <c r="C12" s="309" t="s">
        <v>166</v>
      </c>
      <c r="D12" s="310"/>
      <c r="E12" s="116"/>
      <c r="F12" s="323"/>
      <c r="G12" s="301" t="s">
        <v>175</v>
      </c>
      <c r="H12" s="301"/>
      <c r="I12" s="116"/>
      <c r="J12" s="305"/>
      <c r="K12" s="112"/>
    </row>
    <row r="13" spans="1:11" ht="24.95" customHeight="1">
      <c r="A13" s="112"/>
      <c r="B13" s="115"/>
      <c r="C13" s="311" t="s">
        <v>167</v>
      </c>
      <c r="D13" s="312"/>
      <c r="E13" s="116"/>
      <c r="F13" s="323"/>
      <c r="G13" s="301" t="s">
        <v>368</v>
      </c>
      <c r="H13" s="301"/>
      <c r="I13" s="116"/>
      <c r="J13" s="305"/>
      <c r="K13" s="112"/>
    </row>
    <row r="14" spans="1:11" ht="24.95" customHeight="1">
      <c r="A14" s="112"/>
      <c r="B14" s="115"/>
      <c r="C14" s="313" t="s">
        <v>430</v>
      </c>
      <c r="D14" s="314"/>
      <c r="E14" s="116"/>
      <c r="F14" s="323"/>
      <c r="G14" s="325" t="s">
        <v>176</v>
      </c>
      <c r="H14" s="325"/>
      <c r="I14" s="116">
        <v>50000</v>
      </c>
      <c r="J14" s="305"/>
      <c r="K14" s="112"/>
    </row>
    <row r="15" spans="1:11" ht="24.95" customHeight="1">
      <c r="A15" s="112"/>
      <c r="B15" s="115"/>
      <c r="C15" s="302" t="s">
        <v>186</v>
      </c>
      <c r="D15" s="303"/>
      <c r="E15" s="116"/>
      <c r="F15" s="323"/>
      <c r="G15" s="301" t="s">
        <v>177</v>
      </c>
      <c r="H15" s="301"/>
      <c r="I15" s="116"/>
      <c r="J15" s="305"/>
      <c r="K15" s="112"/>
    </row>
    <row r="16" spans="1:11" ht="24.95" customHeight="1">
      <c r="A16" s="112"/>
      <c r="B16" s="115"/>
      <c r="C16" s="315" t="s">
        <v>187</v>
      </c>
      <c r="D16" s="316"/>
      <c r="E16" s="116"/>
      <c r="F16" s="323"/>
      <c r="G16" s="301" t="s">
        <v>178</v>
      </c>
      <c r="H16" s="301"/>
      <c r="I16" s="116"/>
      <c r="J16" s="305"/>
      <c r="K16" s="112"/>
    </row>
    <row r="17" spans="1:11" ht="24.95" customHeight="1">
      <c r="A17" s="112"/>
      <c r="B17" s="115"/>
      <c r="C17" s="302" t="s">
        <v>168</v>
      </c>
      <c r="D17" s="303"/>
      <c r="E17" s="116"/>
      <c r="F17" s="323"/>
      <c r="G17" s="301" t="s">
        <v>179</v>
      </c>
      <c r="H17" s="301"/>
      <c r="I17" s="116"/>
      <c r="J17" s="305"/>
      <c r="K17" s="112"/>
    </row>
    <row r="18" spans="1:11" ht="24.95" customHeight="1">
      <c r="A18" s="112"/>
      <c r="B18" s="115"/>
      <c r="C18" s="302" t="s">
        <v>188</v>
      </c>
      <c r="D18" s="303"/>
      <c r="E18" s="116"/>
      <c r="F18" s="323"/>
      <c r="G18" s="301" t="s">
        <v>180</v>
      </c>
      <c r="H18" s="301"/>
      <c r="I18" s="116"/>
      <c r="J18" s="305"/>
      <c r="K18" s="112"/>
    </row>
    <row r="19" spans="1:11" ht="24.95" customHeight="1">
      <c r="A19" s="112"/>
      <c r="B19" s="115"/>
      <c r="C19" s="302" t="s">
        <v>169</v>
      </c>
      <c r="D19" s="303"/>
      <c r="E19" s="116"/>
      <c r="F19" s="323"/>
      <c r="G19" s="301" t="s">
        <v>181</v>
      </c>
      <c r="H19" s="301"/>
      <c r="I19" s="116"/>
      <c r="J19" s="305"/>
      <c r="K19" s="112"/>
    </row>
    <row r="20" spans="1:11" ht="24.95" customHeight="1">
      <c r="A20" s="112"/>
      <c r="B20" s="115"/>
      <c r="C20" s="302" t="s">
        <v>189</v>
      </c>
      <c r="D20" s="303"/>
      <c r="E20" s="116"/>
      <c r="F20" s="323"/>
      <c r="G20" s="301" t="s">
        <v>182</v>
      </c>
      <c r="H20" s="301"/>
      <c r="I20" s="116"/>
      <c r="J20" s="305"/>
      <c r="K20" s="112"/>
    </row>
    <row r="21" spans="1:11" ht="24.95" customHeight="1">
      <c r="A21" s="112"/>
      <c r="B21" s="115"/>
      <c r="C21" s="302" t="s">
        <v>190</v>
      </c>
      <c r="D21" s="303"/>
      <c r="E21" s="116"/>
      <c r="F21" s="323"/>
      <c r="G21" s="306" t="s">
        <v>195</v>
      </c>
      <c r="H21" s="306"/>
      <c r="I21" s="116">
        <v>1000</v>
      </c>
      <c r="J21" s="305"/>
      <c r="K21" s="112"/>
    </row>
    <row r="22" spans="1:11" ht="24.95" customHeight="1">
      <c r="A22" s="112"/>
      <c r="B22" s="115"/>
      <c r="C22" s="302" t="s">
        <v>191</v>
      </c>
      <c r="D22" s="303"/>
      <c r="E22" s="116"/>
      <c r="F22" s="323"/>
      <c r="G22" s="301" t="s">
        <v>183</v>
      </c>
      <c r="H22" s="301"/>
      <c r="I22" s="116"/>
      <c r="J22" s="305"/>
      <c r="K22" s="112"/>
    </row>
    <row r="23" spans="1:11" ht="24.95" customHeight="1">
      <c r="A23" s="112"/>
      <c r="B23" s="115"/>
      <c r="C23" s="302" t="s">
        <v>192</v>
      </c>
      <c r="D23" s="303"/>
      <c r="E23" s="116"/>
      <c r="F23" s="323"/>
      <c r="G23" s="317" t="s">
        <v>197</v>
      </c>
      <c r="H23" s="318"/>
      <c r="I23" s="116"/>
      <c r="J23" s="305"/>
      <c r="K23" s="112"/>
    </row>
    <row r="24" spans="1:11" ht="24.95" customHeight="1">
      <c r="A24" s="112"/>
      <c r="B24" s="115"/>
      <c r="C24" s="302" t="s">
        <v>170</v>
      </c>
      <c r="D24" s="303"/>
      <c r="E24" s="116"/>
      <c r="F24" s="323"/>
      <c r="G24" s="299" t="s">
        <v>426</v>
      </c>
      <c r="H24" s="300"/>
      <c r="I24" s="116">
        <v>0</v>
      </c>
      <c r="J24" s="305"/>
      <c r="K24" s="112"/>
    </row>
    <row r="25" spans="1:11" ht="16.5" customHeight="1">
      <c r="A25" s="112"/>
      <c r="B25" s="113"/>
      <c r="C25" s="304"/>
      <c r="D25" s="304"/>
      <c r="E25" s="304"/>
      <c r="F25" s="304"/>
      <c r="G25" s="304"/>
      <c r="H25" s="304"/>
      <c r="I25" s="304"/>
      <c r="J25" s="113"/>
      <c r="K25" s="112"/>
    </row>
    <row r="26" spans="1:11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112"/>
    </row>
    <row r="27" spans="1:11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</row>
    <row r="28" spans="1:11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</row>
    <row r="29" spans="1:11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</row>
  </sheetData>
  <sheetProtection password="C407" sheet="1" objects="1" scenarios="1" selectLockedCells="1"/>
  <mergeCells count="44">
    <mergeCell ref="A1:C1"/>
    <mergeCell ref="B2:C2"/>
    <mergeCell ref="C3:I3"/>
    <mergeCell ref="F6:F24"/>
    <mergeCell ref="G20:H20"/>
    <mergeCell ref="G6:H6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7:H7"/>
    <mergeCell ref="C25:I25"/>
    <mergeCell ref="J6:J24"/>
    <mergeCell ref="G21:H21"/>
    <mergeCell ref="G22:H22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G23:H23"/>
    <mergeCell ref="C6:D6"/>
    <mergeCell ref="G24:H24"/>
    <mergeCell ref="G17:H17"/>
    <mergeCell ref="G18:H18"/>
    <mergeCell ref="G19:H19"/>
    <mergeCell ref="C23:D23"/>
    <mergeCell ref="C24:D24"/>
    <mergeCell ref="C18:D18"/>
    <mergeCell ref="C19:D19"/>
    <mergeCell ref="C20:D20"/>
    <mergeCell ref="C21:D21"/>
    <mergeCell ref="C22:D22"/>
  </mergeCells>
  <dataValidations count="4">
    <dataValidation type="custom" allowBlank="1" showInputMessage="1" showErrorMessage="1" errorTitle="write Digit in only" error="Please input Data in Digit Only" sqref="I24">
      <formula1>ISNUMBER(I24)=TRUE</formula1>
    </dataValidation>
    <dataValidation type="custom" allowBlank="1" showInputMessage="1" showErrorMessage="1" errorTitle="write Digit in only" error="Please input Data in Digit Only" sqref="I6:I23">
      <formula1>ISNUMBER(I6)=TRUE</formula1>
    </dataValidation>
    <dataValidation type="custom" allowBlank="1" showInputMessage="1" showErrorMessage="1" errorTitle="Write in Digit only" error="Please input Data  in Digit / Number only" sqref="E7:E24">
      <formula1>ISNUMBER(E7)=TRUE</formula1>
    </dataValidation>
    <dataValidation type="custom" allowBlank="1" showInputMessage="1" showErrorMessage="1" errorTitle="write in Digit only" error="Please input Data in Number uncle" sqref="E6">
      <formula1>ISNUMBER(E6)=TRUE</formula1>
    </dataValidation>
  </dataValidations>
  <hyperlinks>
    <hyperlink ref="A1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K32"/>
  <sheetViews>
    <sheetView view="pageBreakPreview" topLeftCell="A10" zoomScaleSheetLayoutView="100" workbookViewId="0">
      <selection activeCell="U5" sqref="U5"/>
    </sheetView>
  </sheetViews>
  <sheetFormatPr defaultColWidth="9.125" defaultRowHeight="15.75"/>
  <cols>
    <col min="1" max="1" width="4" style="22" customWidth="1"/>
    <col min="2" max="2" width="12.125" style="22" customWidth="1"/>
    <col min="3" max="3" width="7.75" style="22" customWidth="1"/>
    <col min="4" max="4" width="6.625" style="22" customWidth="1"/>
    <col min="5" max="5" width="5.625" style="22" customWidth="1"/>
    <col min="6" max="6" width="5.75" style="22" customWidth="1"/>
    <col min="7" max="7" width="5.375" style="22" customWidth="1"/>
    <col min="8" max="8" width="5.25" style="22" customWidth="1"/>
    <col min="9" max="9" width="6.25" style="22" customWidth="1"/>
    <col min="10" max="10" width="6.375" style="22" customWidth="1"/>
    <col min="11" max="12" width="5.875" style="22" customWidth="1"/>
    <col min="13" max="13" width="7.625" style="22" customWidth="1"/>
    <col min="14" max="14" width="5.25" style="22" customWidth="1"/>
    <col min="15" max="15" width="5.375" style="22" customWidth="1"/>
    <col min="16" max="16" width="5.25" style="22" customWidth="1"/>
    <col min="17" max="17" width="5.625" style="22" customWidth="1"/>
    <col min="18" max="18" width="5.75" style="22" customWidth="1"/>
    <col min="19" max="21" width="5.25" style="22" customWidth="1"/>
    <col min="22" max="22" width="5.5" style="22" customWidth="1"/>
    <col min="23" max="23" width="5.625" style="22" customWidth="1"/>
    <col min="24" max="26" width="5.75" style="22" customWidth="1"/>
    <col min="27" max="27" width="7.75" style="22" customWidth="1"/>
    <col min="28" max="28" width="8" style="45" customWidth="1"/>
    <col min="29" max="29" width="7.125" style="45" customWidth="1"/>
    <col min="30" max="30" width="8.25" style="14" customWidth="1"/>
    <col min="31" max="33" width="9.125" style="14" customWidth="1"/>
    <col min="34" max="34" width="22.625" style="22" customWidth="1"/>
    <col min="35" max="35" width="9.125" style="14" customWidth="1"/>
    <col min="36" max="36" width="10.875" style="14" customWidth="1"/>
    <col min="37" max="37" width="9.125" style="14" hidden="1" customWidth="1"/>
    <col min="38" max="52" width="9.125" style="14" customWidth="1"/>
    <col min="53" max="53" width="11.25" style="14" customWidth="1"/>
    <col min="54" max="86" width="9.125" style="14" customWidth="1"/>
    <col min="87" max="87" width="8.375" style="14" customWidth="1"/>
    <col min="88" max="272" width="9.125" style="14" customWidth="1"/>
    <col min="273" max="16384" width="9.125" style="14"/>
  </cols>
  <sheetData>
    <row r="1" spans="1:37" ht="27.75" customHeight="1">
      <c r="A1" s="21"/>
      <c r="B1" s="344" t="str">
        <f>IF(AND('Master Data'!D4=""),"",CONCATENATE("Office Name :- ",PROPER('Master Data'!D4)))</f>
        <v xml:space="preserve">Office Name :- Principal, H.S.S.Girls Pichhore (3932003025) M.P.
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329"/>
      <c r="AC1" s="329"/>
      <c r="AD1" s="330"/>
    </row>
    <row r="2" spans="1:37" s="23" customFormat="1" ht="25.5" customHeight="1">
      <c r="A2" s="331" t="s">
        <v>49</v>
      </c>
      <c r="B2" s="332"/>
      <c r="C2" s="332"/>
      <c r="D2" s="333" t="str">
        <f>UPPER(IF('Master Data'!D6="","",'Master Data'!D6))</f>
        <v>HEERALAL JAT</v>
      </c>
      <c r="E2" s="333"/>
      <c r="F2" s="333"/>
      <c r="G2" s="333"/>
      <c r="H2" s="333"/>
      <c r="I2" s="337" t="s">
        <v>21</v>
      </c>
      <c r="J2" s="337"/>
      <c r="K2" s="337"/>
      <c r="L2" s="337"/>
      <c r="M2" s="334" t="str">
        <f>UPPER(IF('Master Data'!H6="","",'Master Data'!H6))</f>
        <v>MIDDLE TEACHER</v>
      </c>
      <c r="N2" s="334"/>
      <c r="O2" s="334"/>
      <c r="P2" s="334"/>
      <c r="Q2" s="332" t="s">
        <v>23</v>
      </c>
      <c r="R2" s="332"/>
      <c r="S2" s="332"/>
      <c r="T2" s="332"/>
      <c r="U2" s="243"/>
      <c r="V2" s="334" t="str">
        <f>UPPER(IF('Master Data'!D8="","",'Master Data'!D8))</f>
        <v xml:space="preserve">GHS HARIJAN BASTI PICHHORE </v>
      </c>
      <c r="W2" s="334"/>
      <c r="X2" s="334"/>
      <c r="Y2" s="334"/>
      <c r="Z2" s="334"/>
      <c r="AA2" s="334"/>
      <c r="AB2" s="334"/>
      <c r="AC2" s="335" t="s">
        <v>54</v>
      </c>
      <c r="AD2" s="336"/>
      <c r="AH2" s="24"/>
    </row>
    <row r="3" spans="1:37" s="23" customFormat="1" ht="23.25" customHeight="1">
      <c r="A3" s="356" t="s">
        <v>55</v>
      </c>
      <c r="B3" s="357"/>
      <c r="C3" s="358" t="str">
        <f>UPPER(IF('Master Data'!D12="","",'Master Data'!D12))</f>
        <v>ABCDE1234H</v>
      </c>
      <c r="D3" s="358"/>
      <c r="E3" s="358"/>
      <c r="F3" s="46" t="s">
        <v>418</v>
      </c>
      <c r="G3" s="358">
        <f>IF(AND('Master Data'!D10=""),"",'Master Data'!D10)</f>
        <v>390263384</v>
      </c>
      <c r="H3" s="358"/>
      <c r="I3" s="358"/>
      <c r="J3" s="338" t="s">
        <v>436</v>
      </c>
      <c r="K3" s="338"/>
      <c r="L3" s="339">
        <f>IF(AND('Master Data'!E27=""),"",'Master Data'!E27)</f>
        <v>28514</v>
      </c>
      <c r="M3" s="339"/>
      <c r="N3" s="339"/>
      <c r="O3" s="359" t="str">
        <f>IF('Master Data'!$I$25=$AK$7,"PRAN No. :-","GPF :-")</f>
        <v>PRAN No. :-</v>
      </c>
      <c r="P3" s="359"/>
      <c r="Q3" s="359"/>
      <c r="R3" s="328">
        <f>IF('Master Data'!$I$25=$AK$7,'Master Data'!D16,'Master Data'!D14)</f>
        <v>110161963331</v>
      </c>
      <c r="S3" s="328"/>
      <c r="T3" s="328"/>
      <c r="U3" s="328"/>
      <c r="V3" s="328"/>
      <c r="W3" s="328"/>
      <c r="X3" s="345" t="s">
        <v>56</v>
      </c>
      <c r="Y3" s="345"/>
      <c r="Z3" s="345"/>
      <c r="AA3" s="345"/>
      <c r="AB3" s="346">
        <f>IF(AND('Master Data'!H16=""),"",'Master Data'!H16)</f>
        <v>121212121212121</v>
      </c>
      <c r="AC3" s="346"/>
      <c r="AD3" s="347"/>
      <c r="AH3" s="24"/>
    </row>
    <row r="4" spans="1:37" s="25" customFormat="1" ht="21.75" customHeight="1">
      <c r="A4" s="348" t="s">
        <v>401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50"/>
      <c r="N4" s="351" t="s">
        <v>402</v>
      </c>
      <c r="O4" s="349"/>
      <c r="P4" s="349"/>
      <c r="Q4" s="349"/>
      <c r="R4" s="349"/>
      <c r="S4" s="349"/>
      <c r="T4" s="349"/>
      <c r="U4" s="349"/>
      <c r="V4" s="349"/>
      <c r="W4" s="349"/>
      <c r="X4" s="349"/>
      <c r="Y4" s="349"/>
      <c r="Z4" s="349"/>
      <c r="AA4" s="349"/>
      <c r="AB4" s="352" t="s">
        <v>417</v>
      </c>
      <c r="AC4" s="354" t="s">
        <v>415</v>
      </c>
      <c r="AD4" s="355" t="s">
        <v>416</v>
      </c>
      <c r="AH4" s="15"/>
    </row>
    <row r="5" spans="1:37" s="28" customFormat="1" ht="47.25" customHeight="1">
      <c r="A5" s="26" t="s">
        <v>42</v>
      </c>
      <c r="B5" s="27" t="s">
        <v>43</v>
      </c>
      <c r="C5" s="27" t="s">
        <v>396</v>
      </c>
      <c r="D5" s="27" t="s">
        <v>397</v>
      </c>
      <c r="E5" s="27" t="s">
        <v>398</v>
      </c>
      <c r="F5" s="27" t="s">
        <v>406</v>
      </c>
      <c r="G5" s="27" t="s">
        <v>44</v>
      </c>
      <c r="H5" s="27" t="s">
        <v>34</v>
      </c>
      <c r="I5" s="27" t="s">
        <v>399</v>
      </c>
      <c r="J5" s="241" t="s">
        <v>400</v>
      </c>
      <c r="K5" s="241" t="s">
        <v>407</v>
      </c>
      <c r="L5" s="241" t="s">
        <v>408</v>
      </c>
      <c r="M5" s="27" t="s">
        <v>427</v>
      </c>
      <c r="N5" s="27" t="s">
        <v>403</v>
      </c>
      <c r="O5" s="27" t="s">
        <v>4</v>
      </c>
      <c r="P5" s="27" t="s">
        <v>9</v>
      </c>
      <c r="Q5" s="27" t="s">
        <v>404</v>
      </c>
      <c r="R5" s="230" t="s">
        <v>405</v>
      </c>
      <c r="S5" s="27" t="s">
        <v>409</v>
      </c>
      <c r="T5" s="27" t="s">
        <v>434</v>
      </c>
      <c r="U5" s="27" t="s">
        <v>435</v>
      </c>
      <c r="V5" s="27" t="s">
        <v>410</v>
      </c>
      <c r="W5" s="241" t="s">
        <v>411</v>
      </c>
      <c r="X5" s="241" t="s">
        <v>412</v>
      </c>
      <c r="Y5" s="241" t="s">
        <v>413</v>
      </c>
      <c r="Z5" s="27" t="s">
        <v>414</v>
      </c>
      <c r="AA5" s="27" t="s">
        <v>428</v>
      </c>
      <c r="AB5" s="353"/>
      <c r="AC5" s="354"/>
      <c r="AD5" s="355"/>
      <c r="AH5" s="29"/>
    </row>
    <row r="6" spans="1:37" ht="21.95" customHeight="1">
      <c r="A6" s="30">
        <v>1</v>
      </c>
      <c r="B6" s="233">
        <v>43891</v>
      </c>
      <c r="C6" s="234">
        <v>35800</v>
      </c>
      <c r="D6" s="234"/>
      <c r="E6" s="234">
        <v>1234</v>
      </c>
      <c r="F6" s="234"/>
      <c r="G6" s="234">
        <v>398</v>
      </c>
      <c r="H6" s="234">
        <v>200</v>
      </c>
      <c r="I6" s="234"/>
      <c r="J6" s="234"/>
      <c r="K6" s="234"/>
      <c r="L6" s="234"/>
      <c r="M6" s="235">
        <f>IF(AND(B6=""),"",SUM(C6:L6))</f>
        <v>37632</v>
      </c>
      <c r="N6" s="234"/>
      <c r="O6" s="234"/>
      <c r="P6" s="236">
        <f>IF(AND('GA55 '!$B6=""),"",IF('Master Data'!$I$25=$AK$7,ROUND((C6+D6+E6)*0.1,0),0))</f>
        <v>3703</v>
      </c>
      <c r="Q6" s="234">
        <v>200</v>
      </c>
      <c r="R6" s="234"/>
      <c r="S6" s="234">
        <v>1000</v>
      </c>
      <c r="T6" s="234">
        <v>208</v>
      </c>
      <c r="U6" s="234"/>
      <c r="V6" s="234"/>
      <c r="W6" s="234"/>
      <c r="X6" s="234"/>
      <c r="Y6" s="234"/>
      <c r="Z6" s="234"/>
      <c r="AA6" s="237">
        <f t="shared" ref="AA6:AA26" si="0">IF(AND(B6="",M6=""),"",SUM(N6:Z6))</f>
        <v>5111</v>
      </c>
      <c r="AB6" s="238">
        <f t="shared" ref="AB6:AB26" si="1">IF(AND(AA6="",M6=""),"",SUM(M6-AA6))</f>
        <v>32521</v>
      </c>
      <c r="AC6" s="239"/>
      <c r="AD6" s="240"/>
    </row>
    <row r="7" spans="1:37" ht="21.95" customHeight="1">
      <c r="A7" s="30">
        <v>2</v>
      </c>
      <c r="B7" s="233">
        <v>43922</v>
      </c>
      <c r="C7" s="239">
        <f>IF(AND('GA55 '!$B7=""),"",'GA55 '!C$6)</f>
        <v>35800</v>
      </c>
      <c r="D7" s="239">
        <f>IF(AND('Master Data'!$I$23='Master Data'!$Y$19),0,IF(AND('GA55 '!$B7=""),"",'GA55 '!D$6))</f>
        <v>0</v>
      </c>
      <c r="E7" s="239">
        <f>IF(AND('Master Data'!$I$23='Master Data'!$Y$19),0,IF(AND('GA55 '!$B7=""),"",'GA55 '!E$6))</f>
        <v>1234</v>
      </c>
      <c r="F7" s="239">
        <f>IF(AND('Master Data'!$I$23='Master Data'!$Y$19),"",IF(AND('GA55 '!$B7=""),"",'GA55 '!F$6))</f>
        <v>0</v>
      </c>
      <c r="G7" s="239">
        <f>IF(AND('Master Data'!$I$23='Master Data'!$Y$19),"",IF(AND('GA55 '!$B7=""),"",'GA55 '!G$6))</f>
        <v>398</v>
      </c>
      <c r="H7" s="239">
        <f>IF(AND('Master Data'!$I$23='Master Data'!$Y$19),"",IF(AND('GA55 '!$B7=""),"",'GA55 '!H$6))</f>
        <v>200</v>
      </c>
      <c r="I7" s="239">
        <f>IF(AND('Master Data'!$I$23='Master Data'!$Y$19),"",IF(AND('GA55 '!$B7=""),"",'GA55 '!I$6))</f>
        <v>0</v>
      </c>
      <c r="J7" s="239">
        <f>IF(AND('Master Data'!$I$23='Master Data'!$Y$19),"",IF(AND('GA55 '!$B7=""),"",'GA55 '!J$6))</f>
        <v>0</v>
      </c>
      <c r="K7" s="239">
        <f>IF(AND('Master Data'!$I$23='Master Data'!$Y$19),"",IF(AND('GA55 '!$B7=""),"",'GA55 '!K$6))</f>
        <v>0</v>
      </c>
      <c r="L7" s="239">
        <f>IF(AND('Master Data'!$I$23='Master Data'!$Y$19),"",IF(AND('GA55 '!$B7=""),"",'GA55 '!L$6))</f>
        <v>0</v>
      </c>
      <c r="M7" s="235">
        <f>IF(AND(B7=""),"",SUM(C7:L7))</f>
        <v>37632</v>
      </c>
      <c r="N7" s="239">
        <f>IF(AND('Master Data'!$I$23='Master Data'!$Y$19),"",IF(AND('GA55 '!$B7=""),"",'GA55 '!N$6))</f>
        <v>0</v>
      </c>
      <c r="O7" s="239">
        <f>IF(AND('Master Data'!$I$23='Master Data'!$Y$19),"",IF(AND('GA55 '!$B7=""),"",IF('Master Data'!$I$25=$AK$8,'GA55 '!O$6,0)))</f>
        <v>0</v>
      </c>
      <c r="P7" s="236">
        <f>IF(AND('GA55 '!$B7=""),"",IF('Master Data'!$I$25=$AK$7,ROUND((C7+D7+E7)*0.1,0),0))</f>
        <v>3703</v>
      </c>
      <c r="Q7" s="239">
        <f>IF(AND('Master Data'!$I$23='Master Data'!$Y$19),"",IF(AND('GA55 '!$B7=""),"",'GA55 '!Q$6))</f>
        <v>200</v>
      </c>
      <c r="R7" s="239">
        <f>IF(AND('Master Data'!$I$23='Master Data'!$Y$19),"",IF(AND('GA55 '!$B7=""),"",'GA55 '!R$6))</f>
        <v>0</v>
      </c>
      <c r="S7" s="239">
        <f>IF(AND('Master Data'!$I$23='Master Data'!$Y$19),"",IF(AND('GA55 '!$B7=""),"",'GA55 '!S$6))</f>
        <v>1000</v>
      </c>
      <c r="T7" s="239">
        <f>IF(AND('Master Data'!$I$23='Master Data'!$Y$19),"",IF(AND('GA55 '!$B7=""),"",'GA55 '!T$6))</f>
        <v>208</v>
      </c>
      <c r="U7" s="239">
        <f>IF(AND('Master Data'!$I$23='Master Data'!$Y$19),"",IF(AND('GA55 '!$B7=""),"",'GA55 '!U$6))</f>
        <v>0</v>
      </c>
      <c r="V7" s="239">
        <f>IF(AND('Master Data'!$I$23='Master Data'!$Y$19),"",IF(AND('GA55 '!$B7=""),"",'GA55 '!V$6))</f>
        <v>0</v>
      </c>
      <c r="W7" s="239">
        <f>IF(AND('Master Data'!$I$23='Master Data'!$Y$19),"",IF(AND('GA55 '!$B7=""),"",'GA55 '!W$6))</f>
        <v>0</v>
      </c>
      <c r="X7" s="239">
        <f>IF(AND('Master Data'!$I$23='Master Data'!$Y$19),"",IF(AND('GA55 '!$B7=""),"",'GA55 '!X$6))</f>
        <v>0</v>
      </c>
      <c r="Y7" s="239">
        <f>IF(AND('Master Data'!$I$23='Master Data'!$Y$19),"",IF(AND('GA55 '!$B7=""),"",'GA55 '!Y$6))</f>
        <v>0</v>
      </c>
      <c r="Z7" s="239">
        <f>IF(AND('Master Data'!$I$23='Master Data'!$Y$19),"",IF(AND('GA55 '!$B7=""),"",'GA55 '!Z$6))</f>
        <v>0</v>
      </c>
      <c r="AA7" s="237">
        <f t="shared" si="0"/>
        <v>5111</v>
      </c>
      <c r="AB7" s="238">
        <f t="shared" si="1"/>
        <v>32521</v>
      </c>
      <c r="AC7" s="239"/>
      <c r="AD7" s="240"/>
      <c r="AK7" s="14" t="s">
        <v>9</v>
      </c>
    </row>
    <row r="8" spans="1:37" ht="21.95" customHeight="1">
      <c r="A8" s="30">
        <v>3</v>
      </c>
      <c r="B8" s="233">
        <v>43952</v>
      </c>
      <c r="C8" s="239">
        <f>IF(AND('GA55 '!$B8=""),"",'GA55 '!C$6)</f>
        <v>35800</v>
      </c>
      <c r="D8" s="239">
        <f>IF(AND('Master Data'!$I$23='Master Data'!$Y$19),0,IF(AND('GA55 '!$B8=""),"",'GA55 '!D$6))</f>
        <v>0</v>
      </c>
      <c r="E8" s="239">
        <f>IF(AND('Master Data'!$I$23='Master Data'!$Y$19),0,IF(AND('GA55 '!$B8=""),"",'GA55 '!E$6))</f>
        <v>1234</v>
      </c>
      <c r="F8" s="239">
        <f>IF(AND('Master Data'!$I$23='Master Data'!$Y$19),"",IF(AND('GA55 '!$B8=""),"",'GA55 '!F$6))</f>
        <v>0</v>
      </c>
      <c r="G8" s="239">
        <f>IF(AND('Master Data'!$I$23='Master Data'!$Y$19),"",IF(AND('GA55 '!$B8=""),"",'GA55 '!G$6))</f>
        <v>398</v>
      </c>
      <c r="H8" s="239">
        <f>IF(AND('Master Data'!$I$23='Master Data'!$Y$19),"",IF(AND('GA55 '!$B8=""),"",'GA55 '!H$6))</f>
        <v>200</v>
      </c>
      <c r="I8" s="239">
        <f>IF(AND('Master Data'!$I$23='Master Data'!$Y$19),"",IF(AND('GA55 '!$B8=""),"",'GA55 '!I$6))</f>
        <v>0</v>
      </c>
      <c r="J8" s="239">
        <f>IF(AND('Master Data'!$I$23='Master Data'!$Y$19),"",IF(AND('GA55 '!$B8=""),"",'GA55 '!J$6))</f>
        <v>0</v>
      </c>
      <c r="K8" s="239">
        <f>IF(AND('Master Data'!$I$23='Master Data'!$Y$19),"",IF(AND('GA55 '!$B8=""),"",'GA55 '!K$6))</f>
        <v>0</v>
      </c>
      <c r="L8" s="239">
        <f>IF(AND('Master Data'!$I$23='Master Data'!$Y$19),"",IF(AND('GA55 '!$B8=""),"",'GA55 '!L$6))</f>
        <v>0</v>
      </c>
      <c r="M8" s="235">
        <f t="shared" ref="M8:M26" si="2">IF(AND(B8=""),"",SUM(C8:L8))</f>
        <v>37632</v>
      </c>
      <c r="N8" s="239">
        <f>IF(AND('Master Data'!$I$23='Master Data'!$Y$19),"",IF(AND('GA55 '!$B8=""),"",'GA55 '!N$6))</f>
        <v>0</v>
      </c>
      <c r="O8" s="239">
        <f>IF(AND('Master Data'!$I$23='Master Data'!$Y$19),"",IF(AND('GA55 '!$B8=""),"",IF('Master Data'!$I$25=$AK$8,'GA55 '!O$6,0)))</f>
        <v>0</v>
      </c>
      <c r="P8" s="236">
        <f>IF(AND('GA55 '!$B8=""),"",IF('Master Data'!$I$25=$AK$7,ROUND((C8+D8+E8)*0.1,0),0))</f>
        <v>3703</v>
      </c>
      <c r="Q8" s="239">
        <f>IF(AND('Master Data'!$I$23='Master Data'!$Y$19),"",IF(AND('GA55 '!$B8=""),"",'GA55 '!Q$6))</f>
        <v>200</v>
      </c>
      <c r="R8" s="239">
        <f>IF(AND('Master Data'!$I$23='Master Data'!$Y$19),"",IF(AND('GA55 '!$B8=""),"",'GA55 '!R$6))</f>
        <v>0</v>
      </c>
      <c r="S8" s="239">
        <f>IF(AND('Master Data'!$I$23='Master Data'!$Y$19),"",IF(AND('GA55 '!$B8=""),"",'GA55 '!S$6))</f>
        <v>1000</v>
      </c>
      <c r="T8" s="239">
        <f>IF(AND('Master Data'!$I$23='Master Data'!$Y$19),"",IF(AND('GA55 '!$B8=""),"",'GA55 '!T$6))</f>
        <v>208</v>
      </c>
      <c r="U8" s="239">
        <f>IF(AND('Master Data'!$I$23='Master Data'!$Y$19),"",IF(AND('GA55 '!$B8=""),"",'GA55 '!U$6))</f>
        <v>0</v>
      </c>
      <c r="V8" s="239">
        <f>IF(AND('Master Data'!$I$23='Master Data'!$Y$19),"",IF(AND('GA55 '!$B8=""),"",'GA55 '!V$6))</f>
        <v>0</v>
      </c>
      <c r="W8" s="239">
        <f>IF(AND('Master Data'!$I$23='Master Data'!$Y$19),"",IF(AND('GA55 '!$B8=""),"",'GA55 '!W$6))</f>
        <v>0</v>
      </c>
      <c r="X8" s="239">
        <f>IF(AND('Master Data'!$I$23='Master Data'!$Y$19),"",IF(AND('GA55 '!$B8=""),"",'GA55 '!X$6))</f>
        <v>0</v>
      </c>
      <c r="Y8" s="239">
        <f>IF(AND('Master Data'!$I$23='Master Data'!$Y$19),"",IF(AND('GA55 '!$B8=""),"",'GA55 '!Y$6))</f>
        <v>0</v>
      </c>
      <c r="Z8" s="239">
        <f>IF(AND('Master Data'!$I$23='Master Data'!$Y$19),"",IF(AND('GA55 '!$B8=""),"",'GA55 '!Z$6))</f>
        <v>0</v>
      </c>
      <c r="AA8" s="237">
        <f t="shared" si="0"/>
        <v>5111</v>
      </c>
      <c r="AB8" s="238">
        <f t="shared" si="1"/>
        <v>32521</v>
      </c>
      <c r="AC8" s="239"/>
      <c r="AD8" s="240"/>
      <c r="AK8" s="14" t="s">
        <v>4</v>
      </c>
    </row>
    <row r="9" spans="1:37" ht="21.95" customHeight="1">
      <c r="A9" s="30">
        <v>4</v>
      </c>
      <c r="B9" s="233">
        <v>43983</v>
      </c>
      <c r="C9" s="239">
        <f>IF(AND('GA55 '!$B9=""),"",'GA55 '!C$6)</f>
        <v>35800</v>
      </c>
      <c r="D9" s="239">
        <f>IF(AND('Master Data'!$I$23='Master Data'!$Y$19),0,IF(AND('GA55 '!$B9=""),"",'GA55 '!D$6))</f>
        <v>0</v>
      </c>
      <c r="E9" s="239">
        <f>IF(AND('Master Data'!$I$23='Master Data'!$Y$19),0,IF(AND('GA55 '!$B9=""),"",'GA55 '!E$6))</f>
        <v>1234</v>
      </c>
      <c r="F9" s="239">
        <f>IF(AND('Master Data'!$I$23='Master Data'!$Y$19),"",IF(AND('GA55 '!$B9=""),"",'GA55 '!F$6))</f>
        <v>0</v>
      </c>
      <c r="G9" s="239">
        <f>IF(AND('Master Data'!$I$23='Master Data'!$Y$19),"",IF(AND('GA55 '!$B9=""),"",'GA55 '!G$6))</f>
        <v>398</v>
      </c>
      <c r="H9" s="239">
        <f>IF(AND('Master Data'!$I$23='Master Data'!$Y$19),"",IF(AND('GA55 '!$B9=""),"",'GA55 '!H$6))</f>
        <v>200</v>
      </c>
      <c r="I9" s="239">
        <f>IF(AND('Master Data'!$I$23='Master Data'!$Y$19),"",IF(AND('GA55 '!$B9=""),"",'GA55 '!I$6))</f>
        <v>0</v>
      </c>
      <c r="J9" s="239">
        <f>IF(AND('Master Data'!$I$23='Master Data'!$Y$19),"",IF(AND('GA55 '!$B9=""),"",'GA55 '!J$6))</f>
        <v>0</v>
      </c>
      <c r="K9" s="239">
        <f>IF(AND('Master Data'!$I$23='Master Data'!$Y$19),"",IF(AND('GA55 '!$B9=""),"",'GA55 '!K$6))</f>
        <v>0</v>
      </c>
      <c r="L9" s="239">
        <f>IF(AND('Master Data'!$I$23='Master Data'!$Y$19),"",IF(AND('GA55 '!$B9=""),"",'GA55 '!L$6))</f>
        <v>0</v>
      </c>
      <c r="M9" s="235">
        <f t="shared" si="2"/>
        <v>37632</v>
      </c>
      <c r="N9" s="239">
        <f>IF(AND('Master Data'!$I$23='Master Data'!$Y$19),"",IF(AND('GA55 '!$B9=""),"",'GA55 '!N$6))</f>
        <v>0</v>
      </c>
      <c r="O9" s="239">
        <f>IF(AND('Master Data'!$I$23='Master Data'!$Y$19),"",IF(AND('GA55 '!$B9=""),"",IF('Master Data'!$I$25=$AK$8,'GA55 '!O$6,0)))</f>
        <v>0</v>
      </c>
      <c r="P9" s="236">
        <f>IF(AND('GA55 '!$B9=""),"",IF('Master Data'!$I$25=$AK$7,ROUND((C9+D9+E9)*0.1,0),0))</f>
        <v>3703</v>
      </c>
      <c r="Q9" s="239">
        <f>IF(AND('Master Data'!$I$23='Master Data'!$Y$19),"",IF(AND('GA55 '!$B9=""),"",'GA55 '!Q$6))</f>
        <v>200</v>
      </c>
      <c r="R9" s="239">
        <f>IF(AND('Master Data'!$I$23='Master Data'!$Y$19),"",IF(AND('GA55 '!$B9=""),"",'GA55 '!R$6))</f>
        <v>0</v>
      </c>
      <c r="S9" s="239">
        <f>IF(AND('Master Data'!$I$23='Master Data'!$Y$19),"",IF(AND('GA55 '!$B9=""),"",'GA55 '!S$6))</f>
        <v>1000</v>
      </c>
      <c r="T9" s="239">
        <f>IF(AND('Master Data'!$I$23='Master Data'!$Y$19),"",IF(AND('GA55 '!$B9=""),"",'GA55 '!T$6))</f>
        <v>208</v>
      </c>
      <c r="U9" s="239">
        <f>IF(AND('Master Data'!$I$23='Master Data'!$Y$19),"",IF(AND('GA55 '!$B9=""),"",'GA55 '!U$6))</f>
        <v>0</v>
      </c>
      <c r="V9" s="239">
        <f>IF(AND('Master Data'!$I$23='Master Data'!$Y$19),"",IF(AND('GA55 '!$B9=""),"",'GA55 '!V$6))</f>
        <v>0</v>
      </c>
      <c r="W9" s="239">
        <f>IF(AND('Master Data'!$I$23='Master Data'!$Y$19),"",IF(AND('GA55 '!$B9=""),"",'GA55 '!W$6))</f>
        <v>0</v>
      </c>
      <c r="X9" s="239">
        <f>IF(AND('Master Data'!$I$23='Master Data'!$Y$19),"",IF(AND('GA55 '!$B9=""),"",'GA55 '!X$6))</f>
        <v>0</v>
      </c>
      <c r="Y9" s="239">
        <f>IF(AND('Master Data'!$I$23='Master Data'!$Y$19),"",IF(AND('GA55 '!$B9=""),"",'GA55 '!Y$6))</f>
        <v>0</v>
      </c>
      <c r="Z9" s="239">
        <f>IF(AND('Master Data'!$I$23='Master Data'!$Y$19),"",IF(AND('GA55 '!$B9=""),"",'GA55 '!Z$6))</f>
        <v>0</v>
      </c>
      <c r="AA9" s="237">
        <f t="shared" si="0"/>
        <v>5111</v>
      </c>
      <c r="AB9" s="238">
        <f t="shared" si="1"/>
        <v>32521</v>
      </c>
      <c r="AC9" s="239"/>
      <c r="AD9" s="240"/>
    </row>
    <row r="10" spans="1:37" ht="21.95" customHeight="1">
      <c r="A10" s="30">
        <v>5</v>
      </c>
      <c r="B10" s="233">
        <v>44013</v>
      </c>
      <c r="C10" s="239">
        <f>IF(AND('GA55 '!$B10=""),"",'GA55 '!C$6)</f>
        <v>35800</v>
      </c>
      <c r="D10" s="239">
        <f>IF(AND('Master Data'!$I$23='Master Data'!$Y$19),0,IF(AND('GA55 '!$B10=""),"",'GA55 '!D$6))</f>
        <v>0</v>
      </c>
      <c r="E10" s="239">
        <f>IF(AND('Master Data'!$I$23='Master Data'!$Y$19),0,IF(AND('GA55 '!$B10=""),"",'GA55 '!E$6))</f>
        <v>1234</v>
      </c>
      <c r="F10" s="239">
        <f>IF(AND('Master Data'!$I$23='Master Data'!$Y$19),"",IF(AND('GA55 '!$B10=""),"",'GA55 '!F$6))</f>
        <v>0</v>
      </c>
      <c r="G10" s="239">
        <f>IF(AND('Master Data'!$I$23='Master Data'!$Y$19),"",IF(AND('GA55 '!$B10=""),"",'GA55 '!G$6))</f>
        <v>398</v>
      </c>
      <c r="H10" s="239">
        <f>IF(AND('Master Data'!$I$23='Master Data'!$Y$19),"",IF(AND('GA55 '!$B10=""),"",'GA55 '!H$6))</f>
        <v>200</v>
      </c>
      <c r="I10" s="239">
        <f>IF(AND('Master Data'!$I$23='Master Data'!$Y$19),"",IF(AND('GA55 '!$B10=""),"",'GA55 '!I$6))</f>
        <v>0</v>
      </c>
      <c r="J10" s="239">
        <f>IF(AND('Master Data'!$I$23='Master Data'!$Y$19),"",IF(AND('GA55 '!$B10=""),"",'GA55 '!J$6))</f>
        <v>0</v>
      </c>
      <c r="K10" s="239">
        <f>IF(AND('Master Data'!$I$23='Master Data'!$Y$19),"",IF(AND('GA55 '!$B10=""),"",'GA55 '!K$6))</f>
        <v>0</v>
      </c>
      <c r="L10" s="239">
        <f>IF(AND('Master Data'!$I$23='Master Data'!$Y$19),"",IF(AND('GA55 '!$B10=""),"",'GA55 '!L$6))</f>
        <v>0</v>
      </c>
      <c r="M10" s="235">
        <f t="shared" si="2"/>
        <v>37632</v>
      </c>
      <c r="N10" s="239">
        <f>IF(AND('Master Data'!$I$23='Master Data'!$Y$19),"",IF(AND('GA55 '!$B10=""),"",'GA55 '!N$6))</f>
        <v>0</v>
      </c>
      <c r="O10" s="239">
        <f>IF(AND('Master Data'!$I$23='Master Data'!$Y$19),"",IF(AND('GA55 '!$B10=""),"",IF('Master Data'!$I$25=$AK$8,'GA55 '!O$6,0)))</f>
        <v>0</v>
      </c>
      <c r="P10" s="236">
        <f>IF(AND('GA55 '!$B10=""),"",IF('Master Data'!$I$25=$AK$7,ROUND((C10+D10+E10)*0.1,0),0))</f>
        <v>3703</v>
      </c>
      <c r="Q10" s="239">
        <f>IF(AND('Master Data'!$I$23='Master Data'!$Y$19),"",IF(AND('GA55 '!$B10=""),"",'GA55 '!Q$6))</f>
        <v>200</v>
      </c>
      <c r="R10" s="239">
        <f>IF(AND('Master Data'!$I$23='Master Data'!$Y$19),"",IF(AND('GA55 '!$B10=""),"",'GA55 '!R$6))</f>
        <v>0</v>
      </c>
      <c r="S10" s="239">
        <f>IF(AND('Master Data'!$I$23='Master Data'!$Y$19),"",IF(AND('GA55 '!$B10=""),"",'GA55 '!S$6))</f>
        <v>1000</v>
      </c>
      <c r="T10" s="239">
        <f>IF(AND('Master Data'!$I$23='Master Data'!$Y$19),"",IF(AND('GA55 '!$B10=""),"",'GA55 '!T$6))</f>
        <v>208</v>
      </c>
      <c r="U10" s="239">
        <f>IF(AND('Master Data'!$I$23='Master Data'!$Y$19),"",IF(AND('GA55 '!$B10=""),"",'GA55 '!U$6))</f>
        <v>0</v>
      </c>
      <c r="V10" s="239">
        <f>IF(AND('Master Data'!$I$23='Master Data'!$Y$19),"",IF(AND('GA55 '!$B10=""),"",'GA55 '!V$6))</f>
        <v>0</v>
      </c>
      <c r="W10" s="239">
        <f>IF(AND('Master Data'!$I$23='Master Data'!$Y$19),"",IF(AND('GA55 '!$B10=""),"",'GA55 '!W$6))</f>
        <v>0</v>
      </c>
      <c r="X10" s="239">
        <f>IF(AND('Master Data'!$I$23='Master Data'!$Y$19),"",IF(AND('GA55 '!$B10=""),"",'GA55 '!X$6))</f>
        <v>0</v>
      </c>
      <c r="Y10" s="239">
        <f>IF(AND('Master Data'!$I$23='Master Data'!$Y$19),"",IF(AND('GA55 '!$B10=""),"",'GA55 '!Y$6))</f>
        <v>0</v>
      </c>
      <c r="Z10" s="239">
        <f>IF(AND('Master Data'!$I$23='Master Data'!$Y$19),"",IF(AND('GA55 '!$B10=""),"",'GA55 '!Z$6))</f>
        <v>0</v>
      </c>
      <c r="AA10" s="237">
        <f t="shared" si="0"/>
        <v>5111</v>
      </c>
      <c r="AB10" s="238">
        <f t="shared" si="1"/>
        <v>32521</v>
      </c>
      <c r="AC10" s="239"/>
      <c r="AD10" s="240"/>
    </row>
    <row r="11" spans="1:37" ht="21.95" customHeight="1">
      <c r="A11" s="30">
        <v>6</v>
      </c>
      <c r="B11" s="233">
        <v>44044</v>
      </c>
      <c r="C11" s="239">
        <f>IF(AND('GA55 '!$B11=""),"",'GA55 '!C$6)</f>
        <v>35800</v>
      </c>
      <c r="D11" s="239">
        <f>IF(AND('Master Data'!$I$23='Master Data'!$Y$19),0,IF(AND('GA55 '!$B11=""),"",'GA55 '!D$6))</f>
        <v>0</v>
      </c>
      <c r="E11" s="239">
        <f>IF(AND('Master Data'!$I$23='Master Data'!$Y$19),0,IF(AND('GA55 '!$B11=""),"",'GA55 '!E$6))</f>
        <v>1234</v>
      </c>
      <c r="F11" s="239">
        <f>IF(AND('Master Data'!$I$23='Master Data'!$Y$19),"",IF(AND('GA55 '!$B11=""),"",'GA55 '!F$6))</f>
        <v>0</v>
      </c>
      <c r="G11" s="239">
        <f>IF(AND('Master Data'!$I$23='Master Data'!$Y$19),"",IF(AND('GA55 '!$B11=""),"",'GA55 '!G$6))</f>
        <v>398</v>
      </c>
      <c r="H11" s="239">
        <f>IF(AND('Master Data'!$I$23='Master Data'!$Y$19),"",IF(AND('GA55 '!$B11=""),"",'GA55 '!H$6))</f>
        <v>200</v>
      </c>
      <c r="I11" s="239">
        <f>IF(AND('Master Data'!$I$23='Master Data'!$Y$19),"",IF(AND('GA55 '!$B11=""),"",'GA55 '!I$6))</f>
        <v>0</v>
      </c>
      <c r="J11" s="239">
        <f>IF(AND('Master Data'!$I$23='Master Data'!$Y$19),"",IF(AND('GA55 '!$B11=""),"",'GA55 '!J$6))</f>
        <v>0</v>
      </c>
      <c r="K11" s="239">
        <f>IF(AND('Master Data'!$I$23='Master Data'!$Y$19),"",IF(AND('GA55 '!$B11=""),"",'GA55 '!K$6))</f>
        <v>0</v>
      </c>
      <c r="L11" s="239">
        <f>IF(AND('Master Data'!$I$23='Master Data'!$Y$19),"",IF(AND('GA55 '!$B11=""),"",'GA55 '!L$6))</f>
        <v>0</v>
      </c>
      <c r="M11" s="235">
        <f t="shared" si="2"/>
        <v>37632</v>
      </c>
      <c r="N11" s="239">
        <f>IF(AND('Master Data'!$I$23='Master Data'!$Y$19),"",IF(AND('GA55 '!$B11=""),"",'GA55 '!N$6))</f>
        <v>0</v>
      </c>
      <c r="O11" s="239">
        <f>IF(AND('Master Data'!$I$23='Master Data'!$Y$19),"",IF(AND('GA55 '!$B11=""),"",IF('Master Data'!$I$25=$AK$8,'GA55 '!O$6,0)))</f>
        <v>0</v>
      </c>
      <c r="P11" s="236">
        <f>IF(AND('GA55 '!$B11=""),"",IF('Master Data'!$I$25=$AK$7,ROUND((C11+D11+E11)*0.1,0),0))</f>
        <v>3703</v>
      </c>
      <c r="Q11" s="239">
        <f>IF(AND('Master Data'!$I$23='Master Data'!$Y$19),"",IF(AND('GA55 '!$B11=""),"",'GA55 '!Q$6))</f>
        <v>200</v>
      </c>
      <c r="R11" s="239">
        <f>IF(AND('Master Data'!$I$23='Master Data'!$Y$19),"",IF(AND('GA55 '!$B11=""),"",'GA55 '!R$6))</f>
        <v>0</v>
      </c>
      <c r="S11" s="239">
        <f>IF(AND('Master Data'!$I$23='Master Data'!$Y$19),"",IF(AND('GA55 '!$B11=""),"",'GA55 '!S$6))</f>
        <v>1000</v>
      </c>
      <c r="T11" s="239">
        <f>IF(AND('Master Data'!$I$23='Master Data'!$Y$19),"",IF(AND('GA55 '!$B11=""),"",'GA55 '!T$6))</f>
        <v>208</v>
      </c>
      <c r="U11" s="239">
        <f>IF(AND('Master Data'!$I$23='Master Data'!$Y$19),"",IF(AND('GA55 '!$B11=""),"",'GA55 '!U$6))</f>
        <v>0</v>
      </c>
      <c r="V11" s="239">
        <f>IF(AND('Master Data'!$I$23='Master Data'!$Y$19),"",IF(AND('GA55 '!$B11=""),"",'GA55 '!V$6))</f>
        <v>0</v>
      </c>
      <c r="W11" s="239">
        <f>IF(AND('Master Data'!$I$23='Master Data'!$Y$19),"",IF(AND('GA55 '!$B11=""),"",'GA55 '!W$6))</f>
        <v>0</v>
      </c>
      <c r="X11" s="239">
        <f>IF(AND('Master Data'!$I$23='Master Data'!$Y$19),"",IF(AND('GA55 '!$B11=""),"",'GA55 '!X$6))</f>
        <v>0</v>
      </c>
      <c r="Y11" s="239">
        <f>IF(AND('Master Data'!$I$23='Master Data'!$Y$19),"",IF(AND('GA55 '!$B11=""),"",'GA55 '!Y$6))</f>
        <v>0</v>
      </c>
      <c r="Z11" s="239">
        <f>IF(AND('Master Data'!$I$23='Master Data'!$Y$19),"",IF(AND('GA55 '!$B11=""),"",'GA55 '!Z$6))</f>
        <v>0</v>
      </c>
      <c r="AA11" s="237">
        <f t="shared" si="0"/>
        <v>5111</v>
      </c>
      <c r="AB11" s="238">
        <f t="shared" si="1"/>
        <v>32521</v>
      </c>
      <c r="AC11" s="239"/>
      <c r="AD11" s="240"/>
    </row>
    <row r="12" spans="1:37" ht="21.95" customHeight="1">
      <c r="A12" s="30">
        <v>7</v>
      </c>
      <c r="B12" s="233">
        <v>44075</v>
      </c>
      <c r="C12" s="239">
        <f>IF(AND('GA55 '!$B12=""),"",'GA55 '!C$6)</f>
        <v>35800</v>
      </c>
      <c r="D12" s="239">
        <f>IF(AND('Master Data'!$I$23='Master Data'!$Y$19),0,IF(AND('GA55 '!$B12=""),"",'GA55 '!D$6))</f>
        <v>0</v>
      </c>
      <c r="E12" s="239">
        <f>IF(AND('Master Data'!$I$23='Master Data'!$Y$19),0,IF(AND('GA55 '!$B12=""),"",'GA55 '!E$6))</f>
        <v>1234</v>
      </c>
      <c r="F12" s="239">
        <f>IF(AND('Master Data'!$I$23='Master Data'!$Y$19),"",IF(AND('GA55 '!$B12=""),"",'GA55 '!F$6))</f>
        <v>0</v>
      </c>
      <c r="G12" s="239">
        <f>IF(AND('Master Data'!$I$23='Master Data'!$Y$19),"",IF(AND('GA55 '!$B12=""),"",'GA55 '!G$6))</f>
        <v>398</v>
      </c>
      <c r="H12" s="239">
        <f>IF(AND('Master Data'!$I$23='Master Data'!$Y$19),"",IF(AND('GA55 '!$B12=""),"",'GA55 '!H$6))</f>
        <v>200</v>
      </c>
      <c r="I12" s="239">
        <f>IF(AND('Master Data'!$I$23='Master Data'!$Y$19),"",IF(AND('GA55 '!$B12=""),"",'GA55 '!I$6))</f>
        <v>0</v>
      </c>
      <c r="J12" s="239">
        <f>IF(AND('Master Data'!$I$23='Master Data'!$Y$19),"",IF(AND('GA55 '!$B12=""),"",'GA55 '!J$6))</f>
        <v>0</v>
      </c>
      <c r="K12" s="239">
        <f>IF(AND('Master Data'!$I$23='Master Data'!$Y$19),"",IF(AND('GA55 '!$B12=""),"",'GA55 '!K$6))</f>
        <v>0</v>
      </c>
      <c r="L12" s="239">
        <f>IF(AND('Master Data'!$I$23='Master Data'!$Y$19),"",IF(AND('GA55 '!$B12=""),"",'GA55 '!L$6))</f>
        <v>0</v>
      </c>
      <c r="M12" s="235">
        <f t="shared" si="2"/>
        <v>37632</v>
      </c>
      <c r="N12" s="239">
        <f>IF(AND('Master Data'!$I$23='Master Data'!$Y$19),"",IF(AND('GA55 '!$B12=""),"",'GA55 '!N$6))</f>
        <v>0</v>
      </c>
      <c r="O12" s="239">
        <f>IF(AND('Master Data'!$I$23='Master Data'!$Y$19),"",IF(AND('GA55 '!$B12=""),"",IF('Master Data'!$I$25=$AK$8,'GA55 '!O$6,0)))</f>
        <v>0</v>
      </c>
      <c r="P12" s="236">
        <f>IF(AND('GA55 '!$B12=""),"",IF('Master Data'!$I$25=$AK$7,ROUND((C12+D12+E12)*0.1,0),0))</f>
        <v>3703</v>
      </c>
      <c r="Q12" s="239">
        <f>IF(AND('Master Data'!$I$23='Master Data'!$Y$19),"",IF(AND('GA55 '!$B12=""),"",'GA55 '!Q$6))</f>
        <v>200</v>
      </c>
      <c r="R12" s="239">
        <f>IF(AND('Master Data'!$I$23='Master Data'!$Y$19),"",IF(AND('GA55 '!$B12=""),"",'GA55 '!R$6))</f>
        <v>0</v>
      </c>
      <c r="S12" s="239">
        <f>IF(AND('Master Data'!$I$23='Master Data'!$Y$19),"",IF(AND('GA55 '!$B12=""),"",'GA55 '!S$6))</f>
        <v>1000</v>
      </c>
      <c r="T12" s="239">
        <f>IF(AND('Master Data'!$I$23='Master Data'!$Y$19),"",IF(AND('GA55 '!$B12=""),"",'GA55 '!T$6))</f>
        <v>208</v>
      </c>
      <c r="U12" s="239">
        <f>IF(AND('Master Data'!$I$23='Master Data'!$Y$19),"",IF(AND('GA55 '!$B12=""),"",'GA55 '!U$6))</f>
        <v>0</v>
      </c>
      <c r="V12" s="239">
        <f>IF(AND('Master Data'!$I$23='Master Data'!$Y$19),"",IF(AND('GA55 '!$B12=""),"",'GA55 '!V$6))</f>
        <v>0</v>
      </c>
      <c r="W12" s="239">
        <f>IF(AND('Master Data'!$I$23='Master Data'!$Y$19),"",IF(AND('GA55 '!$B12=""),"",'GA55 '!W$6))</f>
        <v>0</v>
      </c>
      <c r="X12" s="239">
        <f>IF(AND('Master Data'!$I$23='Master Data'!$Y$19),"",IF(AND('GA55 '!$B12=""),"",'GA55 '!X$6))</f>
        <v>0</v>
      </c>
      <c r="Y12" s="239">
        <f>IF(AND('Master Data'!$I$23='Master Data'!$Y$19),"",IF(AND('GA55 '!$B12=""),"",'GA55 '!Y$6))</f>
        <v>0</v>
      </c>
      <c r="Z12" s="239">
        <f>IF(AND('Master Data'!$I$23='Master Data'!$Y$19),"",IF(AND('GA55 '!$B12=""),"",'GA55 '!Z$6))</f>
        <v>0</v>
      </c>
      <c r="AA12" s="237">
        <f t="shared" si="0"/>
        <v>5111</v>
      </c>
      <c r="AB12" s="238">
        <f t="shared" si="1"/>
        <v>32521</v>
      </c>
      <c r="AC12" s="239"/>
      <c r="AD12" s="240"/>
    </row>
    <row r="13" spans="1:37" ht="21.95" customHeight="1">
      <c r="A13" s="30">
        <v>8</v>
      </c>
      <c r="B13" s="233">
        <v>44105</v>
      </c>
      <c r="C13" s="239">
        <f>IF(AND('GA55 '!$B13=""),"",'GA55 '!C$6)</f>
        <v>35800</v>
      </c>
      <c r="D13" s="239">
        <f>IF(AND('Master Data'!$I$23='Master Data'!$Y$19),0,IF(AND('GA55 '!$B13=""),"",'GA55 '!D$6))</f>
        <v>0</v>
      </c>
      <c r="E13" s="239">
        <f>IF(AND('Master Data'!$I$23='Master Data'!$Y$19),0,IF(AND('GA55 '!$B13=""),"",'GA55 '!E$6))</f>
        <v>1234</v>
      </c>
      <c r="F13" s="239">
        <f>IF(AND('Master Data'!$I$23='Master Data'!$Y$19),"",IF(AND('GA55 '!$B13=""),"",'GA55 '!F$6))</f>
        <v>0</v>
      </c>
      <c r="G13" s="239">
        <f>IF(AND('Master Data'!$I$23='Master Data'!$Y$19),"",IF(AND('GA55 '!$B13=""),"",'GA55 '!G$6))</f>
        <v>398</v>
      </c>
      <c r="H13" s="239">
        <f>IF(AND('Master Data'!$I$23='Master Data'!$Y$19),"",IF(AND('GA55 '!$B13=""),"",'GA55 '!H$6))</f>
        <v>200</v>
      </c>
      <c r="I13" s="239">
        <f>IF(AND('Master Data'!$I$23='Master Data'!$Y$19),"",IF(AND('GA55 '!$B13=""),"",'GA55 '!I$6))</f>
        <v>0</v>
      </c>
      <c r="J13" s="239">
        <f>IF(AND('Master Data'!$I$23='Master Data'!$Y$19),"",IF(AND('GA55 '!$B13=""),"",'GA55 '!J$6))</f>
        <v>0</v>
      </c>
      <c r="K13" s="239">
        <f>IF(AND('Master Data'!$I$23='Master Data'!$Y$19),"",IF(AND('GA55 '!$B13=""),"",'GA55 '!K$6))</f>
        <v>0</v>
      </c>
      <c r="L13" s="239">
        <f>IF(AND('Master Data'!$I$23='Master Data'!$Y$19),"",IF(AND('GA55 '!$B13=""),"",'GA55 '!L$6))</f>
        <v>0</v>
      </c>
      <c r="M13" s="235">
        <f t="shared" si="2"/>
        <v>37632</v>
      </c>
      <c r="N13" s="239">
        <f>IF(AND('Master Data'!$I$23='Master Data'!$Y$19),"",IF(AND('GA55 '!$B13=""),"",'GA55 '!N$6))</f>
        <v>0</v>
      </c>
      <c r="O13" s="239">
        <f>IF(AND('Master Data'!$I$23='Master Data'!$Y$19),"",IF(AND('GA55 '!$B13=""),"",IF('Master Data'!$I$25=$AK$8,'GA55 '!O$6,0)))</f>
        <v>0</v>
      </c>
      <c r="P13" s="236">
        <f>IF(AND('GA55 '!$B13=""),"",IF('Master Data'!$I$25=$AK$7,ROUND((C13+D13+E13)*0.1,0),0))</f>
        <v>3703</v>
      </c>
      <c r="Q13" s="239">
        <f>IF(AND('Master Data'!$I$23='Master Data'!$Y$19),"",IF(AND('GA55 '!$B13=""),"",'GA55 '!Q$6))</f>
        <v>200</v>
      </c>
      <c r="R13" s="239">
        <f>IF(AND('Master Data'!$I$23='Master Data'!$Y$19),"",IF(AND('GA55 '!$B13=""),"",'GA55 '!R$6))</f>
        <v>0</v>
      </c>
      <c r="S13" s="239">
        <f>IF(AND('Master Data'!$I$23='Master Data'!$Y$19),"",IF(AND('GA55 '!$B13=""),"",'GA55 '!S$6))</f>
        <v>1000</v>
      </c>
      <c r="T13" s="239">
        <f>IF(AND('Master Data'!$I$23='Master Data'!$Y$19),"",IF(AND('GA55 '!$B13=""),"",'GA55 '!T$6))</f>
        <v>208</v>
      </c>
      <c r="U13" s="239">
        <f>IF(AND('Master Data'!$I$23='Master Data'!$Y$19),"",IF(AND('GA55 '!$B13=""),"",'GA55 '!U$6))</f>
        <v>0</v>
      </c>
      <c r="V13" s="239">
        <f>IF(AND('Master Data'!$I$23='Master Data'!$Y$19),"",IF(AND('GA55 '!$B13=""),"",'GA55 '!V$6))</f>
        <v>0</v>
      </c>
      <c r="W13" s="239">
        <f>IF(AND('Master Data'!$I$23='Master Data'!$Y$19),"",IF(AND('GA55 '!$B13=""),"",'GA55 '!W$6))</f>
        <v>0</v>
      </c>
      <c r="X13" s="239">
        <f>IF(AND('Master Data'!$I$23='Master Data'!$Y$19),"",IF(AND('GA55 '!$B13=""),"",'GA55 '!X$6))</f>
        <v>0</v>
      </c>
      <c r="Y13" s="239">
        <f>IF(AND('Master Data'!$I$23='Master Data'!$Y$19),"",IF(AND('GA55 '!$B13=""),"",'GA55 '!Y$6))</f>
        <v>0</v>
      </c>
      <c r="Z13" s="239">
        <f>IF(AND('Master Data'!$I$23='Master Data'!$Y$19),"",IF(AND('GA55 '!$B13=""),"",'GA55 '!Z$6))</f>
        <v>0</v>
      </c>
      <c r="AA13" s="237">
        <f t="shared" si="0"/>
        <v>5111</v>
      </c>
      <c r="AB13" s="238">
        <f t="shared" si="1"/>
        <v>32521</v>
      </c>
      <c r="AC13" s="239"/>
      <c r="AD13" s="240"/>
    </row>
    <row r="14" spans="1:37" ht="21.95" customHeight="1">
      <c r="A14" s="30">
        <v>9</v>
      </c>
      <c r="B14" s="233">
        <v>44136</v>
      </c>
      <c r="C14" s="239">
        <f>IF(AND('GA55 '!$B14=""),"",'GA55 '!C$6)</f>
        <v>35800</v>
      </c>
      <c r="D14" s="239">
        <f>IF(AND('Master Data'!$I$23='Master Data'!$Y$19),0,IF(AND('GA55 '!$B14=""),"",'GA55 '!D$6))</f>
        <v>0</v>
      </c>
      <c r="E14" s="239">
        <f>IF(AND('Master Data'!$I$23='Master Data'!$Y$19),0,IF(AND('GA55 '!$B14=""),"",'GA55 '!E$6))</f>
        <v>1234</v>
      </c>
      <c r="F14" s="239">
        <f>IF(AND('Master Data'!$I$23='Master Data'!$Y$19),"",IF(AND('GA55 '!$B14=""),"",'GA55 '!F$6))</f>
        <v>0</v>
      </c>
      <c r="G14" s="239">
        <f>IF(AND('Master Data'!$I$23='Master Data'!$Y$19),"",IF(AND('GA55 '!$B14=""),"",'GA55 '!G$6))</f>
        <v>398</v>
      </c>
      <c r="H14" s="239">
        <f>IF(AND('Master Data'!$I$23='Master Data'!$Y$19),"",IF(AND('GA55 '!$B14=""),"",'GA55 '!H$6))</f>
        <v>200</v>
      </c>
      <c r="I14" s="239">
        <f>IF(AND('Master Data'!$I$23='Master Data'!$Y$19),"",IF(AND('GA55 '!$B14=""),"",'GA55 '!I$6))</f>
        <v>0</v>
      </c>
      <c r="J14" s="239">
        <f>IF(AND('Master Data'!$I$23='Master Data'!$Y$19),"",IF(AND('GA55 '!$B14=""),"",'GA55 '!J$6))</f>
        <v>0</v>
      </c>
      <c r="K14" s="239">
        <f>IF(AND('Master Data'!$I$23='Master Data'!$Y$19),"",IF(AND('GA55 '!$B14=""),"",'GA55 '!K$6))</f>
        <v>0</v>
      </c>
      <c r="L14" s="239">
        <f>IF(AND('Master Data'!$I$23='Master Data'!$Y$19),"",IF(AND('GA55 '!$B14=""),"",'GA55 '!L$6))</f>
        <v>0</v>
      </c>
      <c r="M14" s="235">
        <f t="shared" si="2"/>
        <v>37632</v>
      </c>
      <c r="N14" s="239">
        <f>IF(AND('Master Data'!$I$23='Master Data'!$Y$19),"",IF(AND('GA55 '!$B14=""),"",'GA55 '!N$6))</f>
        <v>0</v>
      </c>
      <c r="O14" s="239">
        <f>IF(AND('Master Data'!$I$23='Master Data'!$Y$19),"",IF(AND('GA55 '!$B14=""),"",IF('Master Data'!$I$25=$AK$8,'GA55 '!O$6,0)))</f>
        <v>0</v>
      </c>
      <c r="P14" s="236">
        <f>IF(AND('GA55 '!$B14=""),"",IF('Master Data'!$I$25=$AK$7,ROUND((C14+D14+E14)*0.1,0),0))</f>
        <v>3703</v>
      </c>
      <c r="Q14" s="239">
        <f>IF(AND('Master Data'!$I$23='Master Data'!$Y$19),"",IF(AND('GA55 '!$B14=""),"",'GA55 '!Q$6))</f>
        <v>200</v>
      </c>
      <c r="R14" s="239">
        <f>IF(AND('Master Data'!$I$23='Master Data'!$Y$19),"",IF(AND('GA55 '!$B14=""),"",'GA55 '!R$6))</f>
        <v>0</v>
      </c>
      <c r="S14" s="239">
        <f>IF(AND('Master Data'!$I$23='Master Data'!$Y$19),"",IF(AND('GA55 '!$B14=""),"",'GA55 '!S$6))</f>
        <v>1000</v>
      </c>
      <c r="T14" s="239">
        <f>IF(AND('Master Data'!$I$23='Master Data'!$Y$19),"",IF(AND('GA55 '!$B14=""),"",'GA55 '!T$6))</f>
        <v>208</v>
      </c>
      <c r="U14" s="239">
        <f>IF(AND('Master Data'!$I$23='Master Data'!$Y$19),"",IF(AND('GA55 '!$B14=""),"",'GA55 '!U$6))</f>
        <v>0</v>
      </c>
      <c r="V14" s="239">
        <f>IF(AND('Master Data'!$I$23='Master Data'!$Y$19),"",IF(AND('GA55 '!$B14=""),"",'GA55 '!V$6))</f>
        <v>0</v>
      </c>
      <c r="W14" s="239">
        <f>IF(AND('Master Data'!$I$23='Master Data'!$Y$19),"",IF(AND('GA55 '!$B14=""),"",'GA55 '!W$6))</f>
        <v>0</v>
      </c>
      <c r="X14" s="239">
        <f>IF(AND('Master Data'!$I$23='Master Data'!$Y$19),"",IF(AND('GA55 '!$B14=""),"",'GA55 '!X$6))</f>
        <v>0</v>
      </c>
      <c r="Y14" s="239">
        <f>IF(AND('Master Data'!$I$23='Master Data'!$Y$19),"",IF(AND('GA55 '!$B14=""),"",'GA55 '!Y$6))</f>
        <v>0</v>
      </c>
      <c r="Z14" s="239">
        <f>IF(AND('Master Data'!$I$23='Master Data'!$Y$19),"",IF(AND('GA55 '!$B14=""),"",'GA55 '!Z$6))</f>
        <v>0</v>
      </c>
      <c r="AA14" s="237">
        <f t="shared" si="0"/>
        <v>5111</v>
      </c>
      <c r="AB14" s="238">
        <f t="shared" si="1"/>
        <v>32521</v>
      </c>
      <c r="AC14" s="239"/>
      <c r="AD14" s="240"/>
      <c r="AG14" s="31"/>
    </row>
    <row r="15" spans="1:37" ht="21.95" customHeight="1">
      <c r="A15" s="30">
        <v>10</v>
      </c>
      <c r="B15" s="233">
        <v>44166</v>
      </c>
      <c r="C15" s="239">
        <f>IF(AND('GA55 '!$B15=""),"",'GA55 '!C$6)</f>
        <v>35800</v>
      </c>
      <c r="D15" s="239">
        <f>IF(AND('Master Data'!$I$23='Master Data'!$Y$19),0,IF(AND('GA55 '!$B15=""),"",'GA55 '!D$6))</f>
        <v>0</v>
      </c>
      <c r="E15" s="239">
        <f>IF(AND('Master Data'!$I$23='Master Data'!$Y$19),0,IF(AND('GA55 '!$B15=""),"",'GA55 '!E$6))</f>
        <v>1234</v>
      </c>
      <c r="F15" s="239">
        <f>IF(AND('Master Data'!$I$23='Master Data'!$Y$19),"",IF(AND('GA55 '!$B15=""),"",'GA55 '!F$6))</f>
        <v>0</v>
      </c>
      <c r="G15" s="239">
        <f>IF(AND('Master Data'!$I$23='Master Data'!$Y$19),"",IF(AND('GA55 '!$B15=""),"",'GA55 '!G$6))</f>
        <v>398</v>
      </c>
      <c r="H15" s="239">
        <f>IF(AND('Master Data'!$I$23='Master Data'!$Y$19),"",IF(AND('GA55 '!$B15=""),"",'GA55 '!H$6))</f>
        <v>200</v>
      </c>
      <c r="I15" s="239">
        <f>IF(AND('Master Data'!$I$23='Master Data'!$Y$19),"",IF(AND('GA55 '!$B15=""),"",'GA55 '!I$6))</f>
        <v>0</v>
      </c>
      <c r="J15" s="239">
        <f>IF(AND('Master Data'!$I$23='Master Data'!$Y$19),"",IF(AND('GA55 '!$B15=""),"",'GA55 '!J$6))</f>
        <v>0</v>
      </c>
      <c r="K15" s="239">
        <f>IF(AND('Master Data'!$I$23='Master Data'!$Y$19),"",IF(AND('GA55 '!$B15=""),"",'GA55 '!K$6))</f>
        <v>0</v>
      </c>
      <c r="L15" s="239">
        <f>IF(AND('Master Data'!$I$23='Master Data'!$Y$19),"",IF(AND('GA55 '!$B15=""),"",'GA55 '!L$6))</f>
        <v>0</v>
      </c>
      <c r="M15" s="235">
        <f t="shared" si="2"/>
        <v>37632</v>
      </c>
      <c r="N15" s="239">
        <f>IF(AND('Master Data'!$I$23='Master Data'!$Y$19),"",IF(AND('GA55 '!$B15=""),"",'GA55 '!N$6))</f>
        <v>0</v>
      </c>
      <c r="O15" s="239">
        <f>IF(AND('Master Data'!$I$23='Master Data'!$Y$19),"",IF(AND('GA55 '!$B15=""),"",IF('Master Data'!$I$25=$AK$8,'GA55 '!O$6,0)))</f>
        <v>0</v>
      </c>
      <c r="P15" s="236">
        <f>IF(AND('GA55 '!$B15=""),"",IF('Master Data'!$I$25=$AK$7,ROUND((C15+D15+E15)*0.1,0),0))</f>
        <v>3703</v>
      </c>
      <c r="Q15" s="239">
        <f>IF(AND('Master Data'!$I$23='Master Data'!$Y$19),"",IF(AND('GA55 '!$B15=""),"",'GA55 '!Q$6))</f>
        <v>200</v>
      </c>
      <c r="R15" s="239">
        <f>IF(AND('Master Data'!$I$23='Master Data'!$Y$19),"",IF(AND('GA55 '!$B15=""),"",'GA55 '!R$6))</f>
        <v>0</v>
      </c>
      <c r="S15" s="239">
        <f>IF(AND('Master Data'!$I$23='Master Data'!$Y$19),"",IF(AND('GA55 '!$B15=""),"",'GA55 '!S$6))</f>
        <v>1000</v>
      </c>
      <c r="T15" s="239">
        <f>IF(AND('Master Data'!$I$23='Master Data'!$Y$19),"",IF(AND('GA55 '!$B15=""),"",'GA55 '!T$6))</f>
        <v>208</v>
      </c>
      <c r="U15" s="239">
        <f>IF(AND('Master Data'!$I$23='Master Data'!$Y$19),"",IF(AND('GA55 '!$B15=""),"",'GA55 '!U$6))</f>
        <v>0</v>
      </c>
      <c r="V15" s="239">
        <f>IF(AND('Master Data'!$I$23='Master Data'!$Y$19),"",IF(AND('GA55 '!$B15=""),"",'GA55 '!V$6))</f>
        <v>0</v>
      </c>
      <c r="W15" s="239">
        <f>IF(AND('Master Data'!$I$23='Master Data'!$Y$19),"",IF(AND('GA55 '!$B15=""),"",'GA55 '!W$6))</f>
        <v>0</v>
      </c>
      <c r="X15" s="239">
        <f>IF(AND('Master Data'!$I$23='Master Data'!$Y$19),"",IF(AND('GA55 '!$B15=""),"",'GA55 '!X$6))</f>
        <v>0</v>
      </c>
      <c r="Y15" s="239">
        <f>IF(AND('Master Data'!$I$23='Master Data'!$Y$19),"",IF(AND('GA55 '!$B15=""),"",'GA55 '!Y$6))</f>
        <v>0</v>
      </c>
      <c r="Z15" s="239">
        <f>IF(AND('Master Data'!$I$23='Master Data'!$Y$19),"",IF(AND('GA55 '!$B15=""),"",'GA55 '!Z$6))</f>
        <v>0</v>
      </c>
      <c r="AA15" s="237">
        <f t="shared" si="0"/>
        <v>5111</v>
      </c>
      <c r="AB15" s="238">
        <f t="shared" si="1"/>
        <v>32521</v>
      </c>
      <c r="AC15" s="239"/>
      <c r="AD15" s="240"/>
    </row>
    <row r="16" spans="1:37" ht="21.95" customHeight="1">
      <c r="A16" s="30">
        <v>11</v>
      </c>
      <c r="B16" s="233">
        <v>44197</v>
      </c>
      <c r="C16" s="239">
        <f>IF(AND('GA55 '!$B16=""),"",'GA55 '!C$6)</f>
        <v>35800</v>
      </c>
      <c r="D16" s="239">
        <f>IF(AND('Master Data'!$I$23='Master Data'!$Y$19),0,IF(AND('GA55 '!$B16=""),"",'GA55 '!D$6))</f>
        <v>0</v>
      </c>
      <c r="E16" s="239">
        <f>IF(AND('Master Data'!$I$23='Master Data'!$Y$19),0,IF(AND('GA55 '!$B16=""),"",'GA55 '!E$6))</f>
        <v>1234</v>
      </c>
      <c r="F16" s="239">
        <f>IF(AND('Master Data'!$I$23='Master Data'!$Y$19),"",IF(AND('GA55 '!$B16=""),"",'GA55 '!F$6))</f>
        <v>0</v>
      </c>
      <c r="G16" s="239">
        <f>IF(AND('Master Data'!$I$23='Master Data'!$Y$19),"",IF(AND('GA55 '!$B16=""),"",'GA55 '!G$6))</f>
        <v>398</v>
      </c>
      <c r="H16" s="239">
        <f>IF(AND('Master Data'!$I$23='Master Data'!$Y$19),"",IF(AND('GA55 '!$B16=""),"",'GA55 '!H$6))</f>
        <v>200</v>
      </c>
      <c r="I16" s="239">
        <f>IF(AND('Master Data'!$I$23='Master Data'!$Y$19),"",IF(AND('GA55 '!$B16=""),"",'GA55 '!I$6))</f>
        <v>0</v>
      </c>
      <c r="J16" s="239">
        <f>IF(AND('Master Data'!$I$23='Master Data'!$Y$19),"",IF(AND('GA55 '!$B16=""),"",'GA55 '!J$6))</f>
        <v>0</v>
      </c>
      <c r="K16" s="239">
        <f>IF(AND('Master Data'!$I$23='Master Data'!$Y$19),"",IF(AND('GA55 '!$B16=""),"",'GA55 '!K$6))</f>
        <v>0</v>
      </c>
      <c r="L16" s="239">
        <f>IF(AND('Master Data'!$I$23='Master Data'!$Y$19),"",IF(AND('GA55 '!$B16=""),"",'GA55 '!L$6))</f>
        <v>0</v>
      </c>
      <c r="M16" s="235">
        <f t="shared" si="2"/>
        <v>37632</v>
      </c>
      <c r="N16" s="239">
        <f>IF(AND('Master Data'!$I$23='Master Data'!$Y$19),"",IF(AND('GA55 '!$B16=""),"",'GA55 '!N$6))</f>
        <v>0</v>
      </c>
      <c r="O16" s="239">
        <f>IF(AND('Master Data'!$I$23='Master Data'!$Y$19),"",IF(AND('GA55 '!$B16=""),"",IF('Master Data'!$I$25=$AK$8,'GA55 '!O$6,0)))</f>
        <v>0</v>
      </c>
      <c r="P16" s="236">
        <f>IF(AND('GA55 '!$B16=""),"",IF('Master Data'!$I$25=$AK$7,ROUND((C16+D16+E16)*0.1,0),0))</f>
        <v>3703</v>
      </c>
      <c r="Q16" s="239">
        <f>IF(AND('Master Data'!$I$23='Master Data'!$Y$19),"",IF(AND('GA55 '!$B16=""),"",'GA55 '!Q$6))</f>
        <v>200</v>
      </c>
      <c r="R16" s="239">
        <f>IF(AND('Master Data'!$I$23='Master Data'!$Y$19),"",IF(AND('GA55 '!$B16=""),"",'GA55 '!R$6))</f>
        <v>0</v>
      </c>
      <c r="S16" s="239">
        <f>IF(AND('Master Data'!$I$23='Master Data'!$Y$19),"",IF(AND('GA55 '!$B16=""),"",'GA55 '!S$6))</f>
        <v>1000</v>
      </c>
      <c r="T16" s="239">
        <f>IF(AND('Master Data'!$I$23='Master Data'!$Y$19),"",IF(AND('GA55 '!$B16=""),"",'GA55 '!T$6))</f>
        <v>208</v>
      </c>
      <c r="U16" s="239">
        <f>IF(AND('Master Data'!$I$23='Master Data'!$Y$19),"",IF(AND('GA55 '!$B16=""),"",'GA55 '!U$6))</f>
        <v>0</v>
      </c>
      <c r="V16" s="239">
        <f>IF(AND('Master Data'!$I$23='Master Data'!$Y$19),"",IF(AND('GA55 '!$B16=""),"",'GA55 '!V$6))</f>
        <v>0</v>
      </c>
      <c r="W16" s="239">
        <f>IF(AND('Master Data'!$I$23='Master Data'!$Y$19),"",IF(AND('GA55 '!$B16=""),"",'GA55 '!W$6))</f>
        <v>0</v>
      </c>
      <c r="X16" s="239">
        <f>IF(AND('Master Data'!$I$23='Master Data'!$Y$19),"",IF(AND('GA55 '!$B16=""),"",'GA55 '!X$6))</f>
        <v>0</v>
      </c>
      <c r="Y16" s="239">
        <f>IF(AND('Master Data'!$I$23='Master Data'!$Y$19),"",IF(AND('GA55 '!$B16=""),"",'GA55 '!Y$6))</f>
        <v>0</v>
      </c>
      <c r="Z16" s="239">
        <f>IF(AND('Master Data'!$I$23='Master Data'!$Y$19),"",IF(AND('GA55 '!$B16=""),"",'GA55 '!Z$6))</f>
        <v>0</v>
      </c>
      <c r="AA16" s="237">
        <f t="shared" si="0"/>
        <v>5111</v>
      </c>
      <c r="AB16" s="238">
        <f t="shared" si="1"/>
        <v>32521</v>
      </c>
      <c r="AC16" s="239"/>
      <c r="AD16" s="240"/>
    </row>
    <row r="17" spans="1:30" ht="21.95" customHeight="1">
      <c r="A17" s="30">
        <v>12</v>
      </c>
      <c r="B17" s="233">
        <v>44228</v>
      </c>
      <c r="C17" s="239">
        <f>IF(AND('GA55 '!$B17=""),"",'GA55 '!C$6)</f>
        <v>35800</v>
      </c>
      <c r="D17" s="239">
        <f>IF(AND('Master Data'!$I$23='Master Data'!$Y$19),0,IF(AND('GA55 '!$B17=""),"",'GA55 '!D$6))</f>
        <v>0</v>
      </c>
      <c r="E17" s="239">
        <f>IF(AND('Master Data'!$I$23='Master Data'!$Y$19),0,IF(AND('GA55 '!$B17=""),"",'GA55 '!E$6))</f>
        <v>1234</v>
      </c>
      <c r="F17" s="239">
        <f>IF(AND('Master Data'!$I$23='Master Data'!$Y$19),"",IF(AND('GA55 '!$B17=""),"",'GA55 '!F$6))</f>
        <v>0</v>
      </c>
      <c r="G17" s="239">
        <f>IF(AND('Master Data'!$I$23='Master Data'!$Y$19),"",IF(AND('GA55 '!$B17=""),"",'GA55 '!G$6))</f>
        <v>398</v>
      </c>
      <c r="H17" s="239">
        <f>IF(AND('Master Data'!$I$23='Master Data'!$Y$19),"",IF(AND('GA55 '!$B17=""),"",'GA55 '!H$6))</f>
        <v>200</v>
      </c>
      <c r="I17" s="239">
        <f>IF(AND('Master Data'!$I$23='Master Data'!$Y$19),"",IF(AND('GA55 '!$B17=""),"",'GA55 '!I$6))</f>
        <v>0</v>
      </c>
      <c r="J17" s="239">
        <f>IF(AND('Master Data'!$I$23='Master Data'!$Y$19),"",IF(AND('GA55 '!$B17=""),"",'GA55 '!J$6))</f>
        <v>0</v>
      </c>
      <c r="K17" s="239">
        <f>IF(AND('Master Data'!$I$23='Master Data'!$Y$19),"",IF(AND('GA55 '!$B17=""),"",'GA55 '!K$6))</f>
        <v>0</v>
      </c>
      <c r="L17" s="239">
        <f>IF(AND('Master Data'!$I$23='Master Data'!$Y$19),"",IF(AND('GA55 '!$B17=""),"",'GA55 '!L$6))</f>
        <v>0</v>
      </c>
      <c r="M17" s="235">
        <f t="shared" si="2"/>
        <v>37632</v>
      </c>
      <c r="N17" s="239">
        <f>IF(AND('Master Data'!$I$23='Master Data'!$Y$19),"",IF(AND('GA55 '!$B17=""),"",'GA55 '!N$6))</f>
        <v>0</v>
      </c>
      <c r="O17" s="239">
        <f>IF(AND('Master Data'!$I$23='Master Data'!$Y$19),"",IF(AND('GA55 '!$B17=""),"",IF('Master Data'!$I$25=$AK$8,'GA55 '!O$6,0)))</f>
        <v>0</v>
      </c>
      <c r="P17" s="236">
        <f>IF(AND('GA55 '!$B17=""),"",IF('Master Data'!$I$25=$AK$7,ROUND((C17+D17+E17)*0.1,0),0))</f>
        <v>3703</v>
      </c>
      <c r="Q17" s="239">
        <f>IF(AND('Master Data'!$I$23='Master Data'!$Y$19),"",IF(AND('GA55 '!$B17=""),"",'GA55 '!Q$6))</f>
        <v>200</v>
      </c>
      <c r="R17" s="239">
        <f>IF(AND('Master Data'!$I$23='Master Data'!$Y$19),"",IF(AND('GA55 '!$B17=""),"",'GA55 '!R$6))</f>
        <v>0</v>
      </c>
      <c r="S17" s="239">
        <f>IF(AND('Master Data'!$I$23='Master Data'!$Y$19),"",IF(AND('GA55 '!$B17=""),"",'GA55 '!S$6))</f>
        <v>1000</v>
      </c>
      <c r="T17" s="239">
        <f>IF(AND('Master Data'!$I$23='Master Data'!$Y$19),"",IF(AND('GA55 '!$B17=""),"",'GA55 '!T$6))</f>
        <v>208</v>
      </c>
      <c r="U17" s="239">
        <f>IF(AND('Master Data'!$I$23='Master Data'!$Y$19),"",IF(AND('GA55 '!$B17=""),"",'GA55 '!U$6))</f>
        <v>0</v>
      </c>
      <c r="V17" s="239">
        <f>IF(AND('Master Data'!$I$23='Master Data'!$Y$19),"",IF(AND('GA55 '!$B17=""),"",'GA55 '!V$6))</f>
        <v>0</v>
      </c>
      <c r="W17" s="239">
        <f>IF(AND('Master Data'!$I$23='Master Data'!$Y$19),"",IF(AND('GA55 '!$B17=""),"",'GA55 '!W$6))</f>
        <v>0</v>
      </c>
      <c r="X17" s="239">
        <f>IF(AND('Master Data'!$I$23='Master Data'!$Y$19),"",IF(AND('GA55 '!$B17=""),"",'GA55 '!X$6))</f>
        <v>0</v>
      </c>
      <c r="Y17" s="239">
        <f>IF(AND('Master Data'!$I$23='Master Data'!$Y$19),"",IF(AND('GA55 '!$B17=""),"",'GA55 '!Y$6))</f>
        <v>0</v>
      </c>
      <c r="Z17" s="239">
        <f>IF(AND('Master Data'!$I$23='Master Data'!$Y$19),"",IF(AND('GA55 '!$B17=""),"",'GA55 '!Z$6))</f>
        <v>0</v>
      </c>
      <c r="AA17" s="237">
        <f t="shared" si="0"/>
        <v>5111</v>
      </c>
      <c r="AB17" s="238">
        <f t="shared" si="1"/>
        <v>32521</v>
      </c>
      <c r="AC17" s="239"/>
      <c r="AD17" s="240"/>
    </row>
    <row r="18" spans="1:30" ht="21.95" customHeight="1">
      <c r="A18" s="30">
        <v>13</v>
      </c>
      <c r="B18" s="233" t="s">
        <v>45</v>
      </c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5">
        <f t="shared" si="2"/>
        <v>0</v>
      </c>
      <c r="N18" s="239"/>
      <c r="O18" s="239"/>
      <c r="P18" s="236">
        <f>IF(AND('GA55 '!$B18=""),"",IF('Master Data'!$I$25=$AK$7,ROUND((C18+D18+E18)*0.1,0),0))</f>
        <v>0</v>
      </c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7">
        <f t="shared" si="0"/>
        <v>0</v>
      </c>
      <c r="AB18" s="238">
        <f t="shared" si="1"/>
        <v>0</v>
      </c>
      <c r="AC18" s="239"/>
      <c r="AD18" s="240"/>
    </row>
    <row r="19" spans="1:30" ht="21.95" customHeight="1">
      <c r="A19" s="30">
        <v>14</v>
      </c>
      <c r="B19" s="233" t="s">
        <v>155</v>
      </c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5">
        <f t="shared" si="2"/>
        <v>0</v>
      </c>
      <c r="N19" s="239"/>
      <c r="O19" s="239"/>
      <c r="P19" s="236">
        <f>IF(AND('GA55 '!$B19=""),"",IF('Master Data'!$I$25=$AK$7,ROUND((C19+D19+E19)*0.1,0),0))</f>
        <v>0</v>
      </c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7">
        <f t="shared" si="0"/>
        <v>0</v>
      </c>
      <c r="AB19" s="238">
        <f t="shared" si="1"/>
        <v>0</v>
      </c>
      <c r="AC19" s="239"/>
      <c r="AD19" s="240"/>
    </row>
    <row r="20" spans="1:30" ht="21.95" customHeight="1">
      <c r="A20" s="30">
        <v>15</v>
      </c>
      <c r="B20" s="233" t="s">
        <v>156</v>
      </c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5">
        <f t="shared" si="2"/>
        <v>0</v>
      </c>
      <c r="N20" s="239"/>
      <c r="O20" s="239"/>
      <c r="P20" s="236">
        <f>IF(AND('GA55 '!$B20=""),"",IF('Master Data'!$I$25=$AK$7,ROUND((C20+D20+E20)*0.1,0),0))</f>
        <v>0</v>
      </c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7">
        <f t="shared" si="0"/>
        <v>0</v>
      </c>
      <c r="AB20" s="238">
        <f t="shared" si="1"/>
        <v>0</v>
      </c>
      <c r="AC20" s="239"/>
      <c r="AD20" s="240"/>
    </row>
    <row r="21" spans="1:30" ht="21.95" customHeight="1">
      <c r="A21" s="30">
        <v>16</v>
      </c>
      <c r="B21" s="233" t="s">
        <v>48</v>
      </c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5">
        <f t="shared" si="2"/>
        <v>0</v>
      </c>
      <c r="N21" s="239"/>
      <c r="O21" s="239"/>
      <c r="P21" s="236">
        <f>IF(AND('GA55 '!$B21=""),"",IF('Master Data'!$I$25=$AK$7,ROUND((C21+D21+E21)*0.1,0),0))</f>
        <v>0</v>
      </c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7">
        <f t="shared" si="0"/>
        <v>0</v>
      </c>
      <c r="AB21" s="238">
        <f t="shared" si="1"/>
        <v>0</v>
      </c>
      <c r="AC21" s="239"/>
      <c r="AD21" s="240"/>
    </row>
    <row r="22" spans="1:30" ht="21.95" customHeight="1">
      <c r="A22" s="30">
        <v>17</v>
      </c>
      <c r="B22" s="233" t="s">
        <v>50</v>
      </c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5">
        <f t="shared" si="2"/>
        <v>0</v>
      </c>
      <c r="N22" s="239"/>
      <c r="O22" s="239"/>
      <c r="P22" s="236">
        <f>IF(AND('GA55 '!$B22=""),"",IF('Master Data'!$I$25=$AK$7,ROUND((C22+D22+E22)*0.1,0),0))</f>
        <v>0</v>
      </c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7">
        <f t="shared" si="0"/>
        <v>0</v>
      </c>
      <c r="AB22" s="238">
        <f t="shared" si="1"/>
        <v>0</v>
      </c>
      <c r="AC22" s="239"/>
      <c r="AD22" s="240"/>
    </row>
    <row r="23" spans="1:30" ht="21.95" customHeight="1">
      <c r="A23" s="30">
        <v>18</v>
      </c>
      <c r="B23" s="233" t="s">
        <v>51</v>
      </c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5">
        <f t="shared" si="2"/>
        <v>0</v>
      </c>
      <c r="N23" s="239"/>
      <c r="O23" s="239"/>
      <c r="P23" s="236">
        <f>IF(AND('GA55 '!$B23=""),"",IF('Master Data'!$I$25=$AK$7,ROUND((C23+D23+E23)*0.1,0),0))</f>
        <v>0</v>
      </c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7">
        <f t="shared" si="0"/>
        <v>0</v>
      </c>
      <c r="AB23" s="238">
        <f t="shared" si="1"/>
        <v>0</v>
      </c>
      <c r="AC23" s="239"/>
      <c r="AD23" s="240"/>
    </row>
    <row r="24" spans="1:30" ht="21.95" customHeight="1">
      <c r="A24" s="30">
        <v>19</v>
      </c>
      <c r="B24" s="233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5" t="str">
        <f t="shared" si="2"/>
        <v/>
      </c>
      <c r="N24" s="239"/>
      <c r="O24" s="239"/>
      <c r="P24" s="236" t="str">
        <f>IF(AND('GA55 '!$B24=""),"",IF('Master Data'!$I$25=$AK$7,ROUND((C24+D24+E24)*0.1,0),0))</f>
        <v/>
      </c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37" t="str">
        <f t="shared" si="0"/>
        <v/>
      </c>
      <c r="AB24" s="238" t="str">
        <f t="shared" si="1"/>
        <v/>
      </c>
      <c r="AC24" s="239"/>
      <c r="AD24" s="240"/>
    </row>
    <row r="25" spans="1:30" ht="21.95" customHeight="1">
      <c r="A25" s="30">
        <v>20</v>
      </c>
      <c r="B25" s="233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5" t="str">
        <f t="shared" si="2"/>
        <v/>
      </c>
      <c r="N25" s="239"/>
      <c r="O25" s="239"/>
      <c r="P25" s="236" t="str">
        <f>IF(AND('GA55 '!$B25=""),"",IF('Master Data'!$I$25=$AK$7,ROUND((C25+D25+E25)*0.1,0),0))</f>
        <v/>
      </c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7" t="str">
        <f t="shared" si="0"/>
        <v/>
      </c>
      <c r="AB25" s="238" t="str">
        <f t="shared" si="1"/>
        <v/>
      </c>
      <c r="AC25" s="239"/>
      <c r="AD25" s="240"/>
    </row>
    <row r="26" spans="1:30" ht="21.95" customHeight="1">
      <c r="A26" s="30">
        <v>21</v>
      </c>
      <c r="B26" s="233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5" t="str">
        <f t="shared" si="2"/>
        <v/>
      </c>
      <c r="N26" s="239"/>
      <c r="O26" s="239"/>
      <c r="P26" s="236" t="str">
        <f>IF(AND('GA55 '!$B26=""),"",IF('Master Data'!$I$25=$AK$7,ROUND((C26+D26+E26)*0.1,0),0))</f>
        <v/>
      </c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7" t="str">
        <f t="shared" si="0"/>
        <v/>
      </c>
      <c r="AB26" s="238" t="str">
        <f t="shared" si="1"/>
        <v/>
      </c>
      <c r="AC26" s="239"/>
      <c r="AD26" s="240"/>
    </row>
    <row r="27" spans="1:30" ht="28.5" customHeight="1">
      <c r="A27" s="32"/>
      <c r="B27" s="33" t="s">
        <v>57</v>
      </c>
      <c r="C27" s="231">
        <f>IF(AND($D$2=""),"",SUM(C6:C26))</f>
        <v>429600</v>
      </c>
      <c r="D27" s="231">
        <f t="shared" ref="D27:AB27" si="3">IF(AND($D$2=""),"",SUM(D6:D26))</f>
        <v>0</v>
      </c>
      <c r="E27" s="231">
        <f t="shared" si="3"/>
        <v>14808</v>
      </c>
      <c r="F27" s="231">
        <f t="shared" si="3"/>
        <v>0</v>
      </c>
      <c r="G27" s="231">
        <f t="shared" si="3"/>
        <v>4776</v>
      </c>
      <c r="H27" s="231">
        <f t="shared" si="3"/>
        <v>2400</v>
      </c>
      <c r="I27" s="231">
        <f t="shared" si="3"/>
        <v>0</v>
      </c>
      <c r="J27" s="231">
        <f t="shared" si="3"/>
        <v>0</v>
      </c>
      <c r="K27" s="231">
        <f t="shared" si="3"/>
        <v>0</v>
      </c>
      <c r="L27" s="231">
        <f t="shared" si="3"/>
        <v>0</v>
      </c>
      <c r="M27" s="231">
        <f t="shared" si="3"/>
        <v>451584</v>
      </c>
      <c r="N27" s="231">
        <f t="shared" si="3"/>
        <v>0</v>
      </c>
      <c r="O27" s="231">
        <f t="shared" si="3"/>
        <v>0</v>
      </c>
      <c r="P27" s="231">
        <f t="shared" si="3"/>
        <v>44436</v>
      </c>
      <c r="Q27" s="231">
        <f t="shared" si="3"/>
        <v>2400</v>
      </c>
      <c r="R27" s="231">
        <f t="shared" si="3"/>
        <v>0</v>
      </c>
      <c r="S27" s="231">
        <f t="shared" si="3"/>
        <v>12000</v>
      </c>
      <c r="T27" s="231">
        <f t="shared" si="3"/>
        <v>2496</v>
      </c>
      <c r="U27" s="231">
        <f t="shared" si="3"/>
        <v>0</v>
      </c>
      <c r="V27" s="231">
        <f t="shared" si="3"/>
        <v>0</v>
      </c>
      <c r="W27" s="231">
        <f t="shared" si="3"/>
        <v>0</v>
      </c>
      <c r="X27" s="231">
        <f t="shared" si="3"/>
        <v>0</v>
      </c>
      <c r="Y27" s="231">
        <f t="shared" si="3"/>
        <v>0</v>
      </c>
      <c r="Z27" s="231">
        <f t="shared" si="3"/>
        <v>0</v>
      </c>
      <c r="AA27" s="231">
        <f t="shared" si="3"/>
        <v>61332</v>
      </c>
      <c r="AB27" s="231">
        <f t="shared" si="3"/>
        <v>390252</v>
      </c>
      <c r="AC27" s="34"/>
      <c r="AD27" s="204"/>
    </row>
    <row r="28" spans="1:30" ht="34.5" customHeight="1">
      <c r="A28" s="35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7"/>
    </row>
    <row r="29" spans="1:30" ht="20.25" customHeight="1">
      <c r="A29" s="35"/>
      <c r="B29" s="93"/>
      <c r="C29" s="340" t="str">
        <f>UPPER(IF('Master Data'!D6="","",'Master Data'!D6))</f>
        <v>HEERALAL JAT</v>
      </c>
      <c r="D29" s="340"/>
      <c r="E29" s="340"/>
      <c r="F29" s="340"/>
      <c r="G29" s="340"/>
      <c r="H29" s="340"/>
      <c r="I29" s="93"/>
      <c r="J29" s="93"/>
      <c r="K29" s="93"/>
      <c r="L29" s="93"/>
      <c r="M29" s="93"/>
      <c r="N29" s="93"/>
      <c r="O29" s="93"/>
      <c r="P29" s="93"/>
      <c r="Q29" s="36"/>
      <c r="R29" s="36"/>
      <c r="S29" s="341" t="str">
        <f>IF(AND('Master Data'!H8=""),"",CONCATENATE("( ",UPPER('Master Data'!H8), " )",))</f>
        <v>( B.E.O.PICHHOR )</v>
      </c>
      <c r="T29" s="341"/>
      <c r="U29" s="341"/>
      <c r="V29" s="341"/>
      <c r="W29" s="341"/>
      <c r="X29" s="341"/>
      <c r="Y29" s="341"/>
      <c r="Z29" s="341"/>
      <c r="AA29" s="341"/>
      <c r="AB29" s="341"/>
      <c r="AC29" s="38"/>
      <c r="AD29" s="37"/>
    </row>
    <row r="30" spans="1:30" ht="21" customHeight="1" thickBot="1">
      <c r="A30" s="39"/>
      <c r="B30" s="40"/>
      <c r="C30" s="342" t="s">
        <v>58</v>
      </c>
      <c r="D30" s="342"/>
      <c r="E30" s="342"/>
      <c r="F30" s="342"/>
      <c r="G30" s="342"/>
      <c r="H30" s="342"/>
      <c r="I30" s="41"/>
      <c r="J30" s="41"/>
      <c r="K30" s="40"/>
      <c r="L30" s="40"/>
      <c r="M30" s="40"/>
      <c r="N30" s="40"/>
      <c r="O30" s="40"/>
      <c r="P30" s="40"/>
      <c r="Q30" s="42"/>
      <c r="R30" s="42"/>
      <c r="S30" s="343" t="s">
        <v>59</v>
      </c>
      <c r="T30" s="343"/>
      <c r="U30" s="343"/>
      <c r="V30" s="343"/>
      <c r="W30" s="343"/>
      <c r="X30" s="343"/>
      <c r="Y30" s="343"/>
      <c r="Z30" s="343"/>
      <c r="AA30" s="343"/>
      <c r="AB30" s="343"/>
      <c r="AC30" s="43"/>
      <c r="AD30" s="44"/>
    </row>
    <row r="31" spans="1:30" ht="15">
      <c r="AB31" s="22"/>
      <c r="AC31" s="22"/>
    </row>
    <row r="32" spans="1:30" ht="15">
      <c r="AB32" s="22"/>
      <c r="AC32" s="22"/>
    </row>
  </sheetData>
  <sheetProtection password="C407" sheet="1" objects="1" scenarios="1" formatCells="0" formatColumns="0" formatRows="0"/>
  <mergeCells count="27">
    <mergeCell ref="C29:H29"/>
    <mergeCell ref="S29:AB29"/>
    <mergeCell ref="C30:H30"/>
    <mergeCell ref="S30:AB30"/>
    <mergeCell ref="B1:AA1"/>
    <mergeCell ref="X3:AA3"/>
    <mergeCell ref="AB3:AD3"/>
    <mergeCell ref="A4:M4"/>
    <mergeCell ref="N4:AA4"/>
    <mergeCell ref="AB4:AB5"/>
    <mergeCell ref="AC4:AC5"/>
    <mergeCell ref="AD4:AD5"/>
    <mergeCell ref="A3:B3"/>
    <mergeCell ref="C3:E3"/>
    <mergeCell ref="G3:I3"/>
    <mergeCell ref="O3:Q3"/>
    <mergeCell ref="R3:W3"/>
    <mergeCell ref="AB1:AD1"/>
    <mergeCell ref="A2:C2"/>
    <mergeCell ref="D2:H2"/>
    <mergeCell ref="M2:P2"/>
    <mergeCell ref="Q2:T2"/>
    <mergeCell ref="V2:AB2"/>
    <mergeCell ref="AC2:AD2"/>
    <mergeCell ref="I2:L2"/>
    <mergeCell ref="J3:K3"/>
    <mergeCell ref="L3:N3"/>
  </mergeCells>
  <pageMargins left="0.49" right="0.27" top="0.37" bottom="0.12" header="0.19" footer="0.3"/>
  <pageSetup paperSize="9" scale="74" orientation="landscape" blackAndWhite="1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K89"/>
  <sheetViews>
    <sheetView showGridLines="0" view="pageBreakPreview" topLeftCell="A29" zoomScaleSheetLayoutView="100" workbookViewId="0">
      <selection activeCell="K8" sqref="K8:M8"/>
    </sheetView>
  </sheetViews>
  <sheetFormatPr defaultColWidth="9.125" defaultRowHeight="15"/>
  <cols>
    <col min="1" max="1" width="4" style="14" customWidth="1"/>
    <col min="2" max="2" width="4.375" style="14" customWidth="1"/>
    <col min="3" max="3" width="10.125" style="14" customWidth="1"/>
    <col min="4" max="4" width="11.125" style="14" customWidth="1"/>
    <col min="5" max="5" width="8.625" style="14" customWidth="1"/>
    <col min="6" max="6" width="3.125" style="14" customWidth="1"/>
    <col min="7" max="7" width="12.375" style="14" customWidth="1"/>
    <col min="8" max="8" width="4.625" style="14" customWidth="1"/>
    <col min="9" max="9" width="12.125" style="14" customWidth="1"/>
    <col min="10" max="10" width="11.125" style="14" customWidth="1"/>
    <col min="11" max="11" width="9.25" style="14" customWidth="1"/>
    <col min="12" max="12" width="3.25" style="14" customWidth="1"/>
    <col min="13" max="13" width="10.25" style="14" customWidth="1"/>
    <col min="14" max="14" width="3" style="14" customWidth="1"/>
    <col min="15" max="15" width="15.625" style="14" customWidth="1"/>
    <col min="16" max="16" width="9.125" style="14"/>
    <col min="17" max="17" width="5.125" style="14" customWidth="1"/>
    <col min="18" max="18" width="10.5" style="14" customWidth="1"/>
    <col min="19" max="19" width="10.625" style="14" customWidth="1"/>
    <col min="20" max="20" width="8.875" style="14" hidden="1" customWidth="1"/>
    <col min="21" max="21" width="11.625" style="14" customWidth="1"/>
    <col min="22" max="23" width="7.375" style="14" customWidth="1"/>
    <col min="24" max="32" width="9.125" style="14" hidden="1" customWidth="1"/>
    <col min="33" max="33" width="9.125" style="14" customWidth="1"/>
    <col min="34" max="34" width="10.875" style="14" customWidth="1"/>
    <col min="35" max="35" width="11" style="14" customWidth="1"/>
    <col min="36" max="36" width="12" style="14" customWidth="1"/>
    <col min="37" max="37" width="10.625" style="14" customWidth="1"/>
    <col min="38" max="16384" width="9.125" style="14"/>
  </cols>
  <sheetData>
    <row r="1" spans="1:23" ht="18.75">
      <c r="A1" s="371" t="str">
        <f>IF(AND('Master Data'!D4=""),"",CONCATENATE("Office Name :- ",PROPER('Master Data'!D4)))</f>
        <v xml:space="preserve">Office Name :- Principal, H.S.S.Girls Pichhore (3932003025) M.P.
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T1" s="160">
        <v>2</v>
      </c>
    </row>
    <row r="2" spans="1:23" ht="19.5" thickBot="1">
      <c r="A2" s="47"/>
      <c r="B2" s="47"/>
      <c r="C2" s="377" t="s">
        <v>159</v>
      </c>
      <c r="D2" s="377"/>
      <c r="E2" s="377"/>
      <c r="F2" s="378" t="s">
        <v>158</v>
      </c>
      <c r="G2" s="378"/>
      <c r="H2" s="379" t="s">
        <v>160</v>
      </c>
      <c r="I2" s="379"/>
      <c r="J2" s="382" t="s">
        <v>379</v>
      </c>
      <c r="K2" s="382"/>
      <c r="L2" s="380" t="str">
        <f>IF(T14=T2,"Old Tax Regime","New Tax Regime")</f>
        <v>Old Tax Regime</v>
      </c>
      <c r="M2" s="381"/>
      <c r="N2" s="381"/>
      <c r="O2" s="381"/>
      <c r="T2" s="160">
        <v>1</v>
      </c>
    </row>
    <row r="3" spans="1:23" ht="17.25" thickTop="1" thickBot="1">
      <c r="A3" s="117">
        <v>1</v>
      </c>
      <c r="B3" s="372" t="s">
        <v>60</v>
      </c>
      <c r="C3" s="372"/>
      <c r="D3" s="373" t="str">
        <f>UPPER('Master Data'!D6)</f>
        <v>HEERALAL JAT</v>
      </c>
      <c r="E3" s="373"/>
      <c r="F3" s="373"/>
      <c r="G3" s="373"/>
      <c r="H3" s="373"/>
      <c r="I3" s="118" t="s">
        <v>61</v>
      </c>
      <c r="J3" s="374" t="str">
        <f>UPPER('Master Data'!H6)</f>
        <v>MIDDLE TEACHER</v>
      </c>
      <c r="K3" s="374"/>
      <c r="L3" s="374"/>
      <c r="M3" s="119" t="s">
        <v>62</v>
      </c>
      <c r="N3" s="375" t="str">
        <f>UPPER('Master Data'!D12)</f>
        <v>ABCDE1234H</v>
      </c>
      <c r="O3" s="376"/>
      <c r="P3" s="120"/>
      <c r="Q3" s="120"/>
      <c r="T3" s="161"/>
    </row>
    <row r="4" spans="1:23" ht="18.75" customHeight="1">
      <c r="A4" s="406">
        <v>2</v>
      </c>
      <c r="B4" s="383" t="s">
        <v>154</v>
      </c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121" t="s">
        <v>63</v>
      </c>
      <c r="O4" s="122">
        <f>'GA55 '!M27</f>
        <v>451584</v>
      </c>
      <c r="P4" s="123"/>
      <c r="Q4" s="48"/>
      <c r="R4" s="389" t="s">
        <v>185</v>
      </c>
      <c r="S4" s="390"/>
      <c r="T4" s="390"/>
      <c r="U4" s="390"/>
      <c r="V4" s="391"/>
      <c r="W4" s="92"/>
    </row>
    <row r="5" spans="1:23" ht="15.75" customHeight="1">
      <c r="A5" s="407"/>
      <c r="B5" s="403" t="s">
        <v>153</v>
      </c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5"/>
      <c r="N5" s="121" t="s">
        <v>63</v>
      </c>
      <c r="O5" s="122">
        <f>IF('Master Data'!H18="Yes",0,IF('Master Data'!I25='Master Data'!V19,'GA55 '!P27,0))</f>
        <v>44436</v>
      </c>
      <c r="P5" s="123"/>
      <c r="Q5" s="48"/>
      <c r="R5" s="392"/>
      <c r="S5" s="393"/>
      <c r="T5" s="393"/>
      <c r="U5" s="393"/>
      <c r="V5" s="394"/>
      <c r="W5" s="92"/>
    </row>
    <row r="6" spans="1:23" ht="15.75" customHeight="1">
      <c r="A6" s="124">
        <v>3</v>
      </c>
      <c r="B6" s="398" t="s">
        <v>65</v>
      </c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121" t="s">
        <v>63</v>
      </c>
      <c r="O6" s="122">
        <f>IF(T14=T2,SUM('Extra Ded. '!I7+'Extra Ded. '!E6+'Master Data'!E23),"0")</f>
        <v>0</v>
      </c>
      <c r="P6" s="125"/>
      <c r="Q6" s="48" t="s">
        <v>64</v>
      </c>
      <c r="R6" s="392"/>
      <c r="S6" s="393"/>
      <c r="T6" s="393"/>
      <c r="U6" s="393"/>
      <c r="V6" s="394"/>
      <c r="W6" s="92"/>
    </row>
    <row r="7" spans="1:23" ht="18.75">
      <c r="A7" s="124">
        <v>4</v>
      </c>
      <c r="B7" s="399" t="s">
        <v>66</v>
      </c>
      <c r="C7" s="399"/>
      <c r="D7" s="399"/>
      <c r="E7" s="399"/>
      <c r="F7" s="399"/>
      <c r="G7" s="399"/>
      <c r="H7" s="399"/>
      <c r="I7" s="399"/>
      <c r="J7" s="399"/>
      <c r="K7" s="399"/>
      <c r="L7" s="399"/>
      <c r="M7" s="399"/>
      <c r="N7" s="121" t="s">
        <v>63</v>
      </c>
      <c r="O7" s="122">
        <f>(O4+O5)-O6</f>
        <v>496020</v>
      </c>
      <c r="P7" s="125"/>
      <c r="Q7" s="125"/>
      <c r="R7" s="392"/>
      <c r="S7" s="393"/>
      <c r="T7" s="393"/>
      <c r="U7" s="393"/>
      <c r="V7" s="394"/>
      <c r="W7" s="92"/>
    </row>
    <row r="8" spans="1:23" ht="19.5" thickBot="1">
      <c r="A8" s="386">
        <v>5</v>
      </c>
      <c r="B8" s="383" t="s">
        <v>67</v>
      </c>
      <c r="C8" s="383"/>
      <c r="D8" s="383"/>
      <c r="E8" s="383"/>
      <c r="F8" s="383"/>
      <c r="G8" s="383"/>
      <c r="H8" s="383"/>
      <c r="I8" s="383"/>
      <c r="J8" s="383"/>
      <c r="K8" s="388">
        <f>IF(T14=T2,'Extra Ded. '!E8,"0")</f>
        <v>0</v>
      </c>
      <c r="L8" s="388"/>
      <c r="M8" s="388"/>
      <c r="N8" s="400"/>
      <c r="O8" s="401"/>
      <c r="P8" s="126"/>
      <c r="Q8" s="126"/>
      <c r="R8" s="395"/>
      <c r="S8" s="396"/>
      <c r="T8" s="396"/>
      <c r="U8" s="396"/>
      <c r="V8" s="397"/>
      <c r="W8" s="92"/>
    </row>
    <row r="9" spans="1:23" ht="18.75">
      <c r="A9" s="386"/>
      <c r="B9" s="383" t="s">
        <v>68</v>
      </c>
      <c r="C9" s="383"/>
      <c r="D9" s="383"/>
      <c r="E9" s="383"/>
      <c r="F9" s="383"/>
      <c r="G9" s="383"/>
      <c r="H9" s="383"/>
      <c r="I9" s="383"/>
      <c r="J9" s="383"/>
      <c r="K9" s="402">
        <f>IF(T14=T2,'Extra Ded. '!E9,"0")+'GA55 '!U27</f>
        <v>0</v>
      </c>
      <c r="L9" s="402"/>
      <c r="M9" s="402"/>
      <c r="N9" s="400"/>
      <c r="O9" s="401"/>
      <c r="P9" s="126"/>
      <c r="Q9" s="126"/>
      <c r="R9" s="49"/>
      <c r="S9" s="49"/>
      <c r="T9" s="49"/>
      <c r="U9" s="49"/>
      <c r="V9" s="49"/>
      <c r="W9" s="49"/>
    </row>
    <row r="10" spans="1:23" ht="20.25">
      <c r="A10" s="386"/>
      <c r="B10" s="383" t="s">
        <v>69</v>
      </c>
      <c r="C10" s="383"/>
      <c r="D10" s="383"/>
      <c r="E10" s="383"/>
      <c r="F10" s="383"/>
      <c r="G10" s="383"/>
      <c r="H10" s="383"/>
      <c r="I10" s="383"/>
      <c r="J10" s="383"/>
      <c r="K10" s="384">
        <f>IF(T14=T2,'Extra Ded. '!E7,"0")</f>
        <v>50000</v>
      </c>
      <c r="L10" s="384"/>
      <c r="M10" s="384"/>
      <c r="N10" s="121" t="s">
        <v>63</v>
      </c>
      <c r="O10" s="122">
        <f>SUM(K8:M10)</f>
        <v>50000</v>
      </c>
      <c r="P10" s="125"/>
      <c r="Q10" s="125"/>
      <c r="R10" s="82"/>
      <c r="S10" s="82"/>
      <c r="T10" s="82"/>
      <c r="U10" s="82"/>
      <c r="V10" s="82"/>
      <c r="W10" s="82"/>
    </row>
    <row r="11" spans="1:23" ht="17.25" customHeight="1">
      <c r="A11" s="124">
        <v>6</v>
      </c>
      <c r="B11" s="385" t="s">
        <v>70</v>
      </c>
      <c r="C11" s="385"/>
      <c r="D11" s="385"/>
      <c r="E11" s="385"/>
      <c r="F11" s="385"/>
      <c r="G11" s="385"/>
      <c r="H11" s="385"/>
      <c r="I11" s="385"/>
      <c r="J11" s="385"/>
      <c r="K11" s="385"/>
      <c r="L11" s="385"/>
      <c r="M11" s="385"/>
      <c r="N11" s="121" t="s">
        <v>63</v>
      </c>
      <c r="O11" s="122">
        <f>O7-O10</f>
        <v>446020</v>
      </c>
      <c r="P11" s="125"/>
      <c r="Q11" s="125"/>
      <c r="R11" s="83"/>
      <c r="S11" s="83"/>
      <c r="T11" s="162"/>
      <c r="U11" s="83"/>
      <c r="V11" s="83"/>
      <c r="W11" s="83"/>
    </row>
    <row r="12" spans="1:23" ht="15.75">
      <c r="A12" s="386">
        <v>7</v>
      </c>
      <c r="B12" s="383" t="s">
        <v>71</v>
      </c>
      <c r="C12" s="383"/>
      <c r="D12" s="383"/>
      <c r="E12" s="383"/>
      <c r="F12" s="383"/>
      <c r="G12" s="383"/>
      <c r="H12" s="383"/>
      <c r="I12" s="387" t="s">
        <v>72</v>
      </c>
      <c r="J12" s="387"/>
      <c r="K12" s="388">
        <f>'Extra Ded. '!E10</f>
        <v>0</v>
      </c>
      <c r="L12" s="388"/>
      <c r="M12" s="388"/>
      <c r="N12" s="412"/>
      <c r="O12" s="413"/>
      <c r="P12" s="127"/>
      <c r="Q12" s="127"/>
      <c r="T12" s="161"/>
    </row>
    <row r="13" spans="1:23" ht="15.75">
      <c r="A13" s="386"/>
      <c r="B13" s="414" t="s">
        <v>73</v>
      </c>
      <c r="C13" s="414"/>
      <c r="D13" s="415" t="s">
        <v>74</v>
      </c>
      <c r="E13" s="415"/>
      <c r="F13" s="415" t="s">
        <v>75</v>
      </c>
      <c r="G13" s="415"/>
      <c r="H13" s="415"/>
      <c r="I13" s="415" t="s">
        <v>76</v>
      </c>
      <c r="J13" s="415"/>
      <c r="K13" s="387" t="s">
        <v>77</v>
      </c>
      <c r="L13" s="387"/>
      <c r="M13" s="387"/>
      <c r="N13" s="412"/>
      <c r="O13" s="413"/>
      <c r="P13" s="127"/>
      <c r="Q13" s="127"/>
      <c r="T13" s="161"/>
    </row>
    <row r="14" spans="1:23" ht="15.75">
      <c r="A14" s="386"/>
      <c r="B14" s="414"/>
      <c r="C14" s="414"/>
      <c r="D14" s="388">
        <f>IF(T14=T2,ROUND(K12*0.3,0),"0")</f>
        <v>0</v>
      </c>
      <c r="E14" s="388"/>
      <c r="F14" s="388">
        <f>IF(T14=T2,'Extra Ded. '!E13,"0")</f>
        <v>0</v>
      </c>
      <c r="G14" s="388"/>
      <c r="H14" s="388"/>
      <c r="I14" s="388">
        <f>IF(T14=T2,'Extra Ded. '!E11,"0")</f>
        <v>0</v>
      </c>
      <c r="J14" s="388"/>
      <c r="K14" s="388">
        <f>D14+F14+I14</f>
        <v>0</v>
      </c>
      <c r="L14" s="388"/>
      <c r="M14" s="388"/>
      <c r="N14" s="412"/>
      <c r="O14" s="413"/>
      <c r="P14" s="127"/>
      <c r="Q14" s="127"/>
      <c r="T14" s="160">
        <v>1</v>
      </c>
    </row>
    <row r="15" spans="1:23" ht="15.75">
      <c r="A15" s="124"/>
      <c r="B15" s="399" t="s">
        <v>78</v>
      </c>
      <c r="C15" s="399"/>
      <c r="D15" s="399"/>
      <c r="E15" s="399"/>
      <c r="F15" s="399"/>
      <c r="G15" s="399"/>
      <c r="H15" s="399"/>
      <c r="I15" s="399"/>
      <c r="J15" s="399"/>
      <c r="K15" s="399"/>
      <c r="L15" s="399"/>
      <c r="M15" s="399"/>
      <c r="N15" s="121" t="s">
        <v>63</v>
      </c>
      <c r="O15" s="122">
        <f>K12-K14</f>
        <v>0</v>
      </c>
      <c r="P15" s="125"/>
      <c r="Q15" s="125"/>
      <c r="T15" s="161"/>
    </row>
    <row r="16" spans="1:23" ht="15.75">
      <c r="A16" s="124">
        <v>8</v>
      </c>
      <c r="B16" s="383" t="s">
        <v>79</v>
      </c>
      <c r="C16" s="383"/>
      <c r="D16" s="383"/>
      <c r="E16" s="416">
        <f>'Extra Ded. '!I21</f>
        <v>1000</v>
      </c>
      <c r="F16" s="416"/>
      <c r="G16" s="387" t="s">
        <v>81</v>
      </c>
      <c r="H16" s="387"/>
      <c r="I16" s="128">
        <f>'Extra Ded. '!E24</f>
        <v>0</v>
      </c>
      <c r="J16" s="399" t="s">
        <v>80</v>
      </c>
      <c r="K16" s="399"/>
      <c r="L16" s="399"/>
      <c r="M16" s="399"/>
      <c r="N16" s="121" t="s">
        <v>63</v>
      </c>
      <c r="O16" s="122">
        <f>O11+O15</f>
        <v>446020</v>
      </c>
      <c r="P16" s="125"/>
      <c r="Q16" s="125"/>
      <c r="T16" s="161"/>
    </row>
    <row r="17" spans="1:37" ht="15.75">
      <c r="A17" s="124">
        <v>9</v>
      </c>
      <c r="B17" s="409" t="s">
        <v>198</v>
      </c>
      <c r="C17" s="410"/>
      <c r="D17" s="411"/>
      <c r="E17" s="418">
        <f>'Extra Ded. '!I23</f>
        <v>0</v>
      </c>
      <c r="F17" s="419"/>
      <c r="G17" s="420" t="s">
        <v>157</v>
      </c>
      <c r="H17" s="421"/>
      <c r="I17" s="129">
        <f>'Extra Ded. '!E23</f>
        <v>0</v>
      </c>
      <c r="J17" s="403" t="s">
        <v>82</v>
      </c>
      <c r="K17" s="404"/>
      <c r="L17" s="404"/>
      <c r="M17" s="405"/>
      <c r="N17" s="121" t="s">
        <v>63</v>
      </c>
      <c r="O17" s="122">
        <f>E16+E17+I16+I17</f>
        <v>1000</v>
      </c>
      <c r="P17" s="125"/>
      <c r="Q17" s="125"/>
      <c r="T17" s="161"/>
    </row>
    <row r="18" spans="1:37" ht="15.75">
      <c r="A18" s="124">
        <v>10</v>
      </c>
      <c r="B18" s="422" t="s">
        <v>83</v>
      </c>
      <c r="C18" s="423"/>
      <c r="D18" s="423"/>
      <c r="E18" s="423"/>
      <c r="F18" s="423"/>
      <c r="G18" s="423"/>
      <c r="H18" s="423"/>
      <c r="I18" s="423"/>
      <c r="J18" s="423"/>
      <c r="K18" s="423"/>
      <c r="L18" s="423"/>
      <c r="M18" s="424"/>
      <c r="N18" s="121" t="s">
        <v>63</v>
      </c>
      <c r="O18" s="122">
        <f>O16+O17</f>
        <v>447020</v>
      </c>
      <c r="P18" s="123"/>
      <c r="Q18" s="123"/>
      <c r="T18" s="161"/>
    </row>
    <row r="19" spans="1:37" ht="15.75">
      <c r="A19" s="386">
        <v>11</v>
      </c>
      <c r="B19" s="425" t="s">
        <v>84</v>
      </c>
      <c r="C19" s="425"/>
      <c r="D19" s="425"/>
      <c r="E19" s="425"/>
      <c r="F19" s="425"/>
      <c r="G19" s="425"/>
      <c r="H19" s="425"/>
      <c r="I19" s="425"/>
      <c r="J19" s="425"/>
      <c r="K19" s="425"/>
      <c r="L19" s="425"/>
      <c r="M19" s="425"/>
      <c r="N19" s="425"/>
      <c r="O19" s="426"/>
      <c r="P19" s="130"/>
      <c r="Q19" s="130"/>
      <c r="R19" s="449" t="s">
        <v>376</v>
      </c>
      <c r="S19" s="449"/>
      <c r="T19" s="161"/>
    </row>
    <row r="20" spans="1:37">
      <c r="A20" s="386"/>
      <c r="B20" s="427" t="s">
        <v>85</v>
      </c>
      <c r="C20" s="427"/>
      <c r="D20" s="427"/>
      <c r="E20" s="427"/>
      <c r="F20" s="427"/>
      <c r="G20" s="427"/>
      <c r="H20" s="427"/>
      <c r="I20" s="427"/>
      <c r="J20" s="427"/>
      <c r="K20" s="427"/>
      <c r="L20" s="427"/>
      <c r="M20" s="427"/>
      <c r="N20" s="427"/>
      <c r="O20" s="428"/>
      <c r="P20" s="131"/>
      <c r="Q20" s="131"/>
      <c r="T20" s="161"/>
    </row>
    <row r="21" spans="1:37" ht="15.75">
      <c r="A21" s="386"/>
      <c r="B21" s="132" t="s">
        <v>86</v>
      </c>
      <c r="C21" s="429" t="s">
        <v>87</v>
      </c>
      <c r="D21" s="429"/>
      <c r="E21" s="429"/>
      <c r="F21" s="133" t="s">
        <v>63</v>
      </c>
      <c r="G21" s="134">
        <f>IF(T14=T2,SUM('GA55 '!N27),"0")</f>
        <v>0</v>
      </c>
      <c r="H21" s="135" t="s">
        <v>88</v>
      </c>
      <c r="I21" s="430" t="s">
        <v>89</v>
      </c>
      <c r="J21" s="431"/>
      <c r="K21" s="432"/>
      <c r="L21" s="133" t="s">
        <v>63</v>
      </c>
      <c r="M21" s="222">
        <f>IF('Master Data'!I25='Master Data'!V18,0,IF(T14=T1,0,IF(T34=T36,AA27,AB23)))</f>
        <v>44436</v>
      </c>
      <c r="N21" s="415"/>
      <c r="O21" s="433"/>
      <c r="P21" s="136"/>
      <c r="Q21" s="136"/>
      <c r="R21" s="214"/>
      <c r="S21" s="214"/>
      <c r="T21" s="215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</row>
    <row r="22" spans="1:37" ht="15.75" customHeight="1">
      <c r="A22" s="386"/>
      <c r="B22" s="132" t="s">
        <v>90</v>
      </c>
      <c r="C22" s="434" t="s">
        <v>432</v>
      </c>
      <c r="D22" s="434"/>
      <c r="E22" s="434"/>
      <c r="F22" s="133" t="s">
        <v>63</v>
      </c>
      <c r="G22" s="134">
        <f>IF(T14=T2,'GA55 '!Z27,"0")</f>
        <v>0</v>
      </c>
      <c r="H22" s="135" t="s">
        <v>91</v>
      </c>
      <c r="I22" s="408" t="s">
        <v>92</v>
      </c>
      <c r="J22" s="408"/>
      <c r="K22" s="408"/>
      <c r="L22" s="133" t="s">
        <v>63</v>
      </c>
      <c r="M22" s="134">
        <f>IF(T14=T2,'Extra Ded. '!I12,"0")</f>
        <v>0</v>
      </c>
      <c r="N22" s="415"/>
      <c r="O22" s="433"/>
      <c r="P22" s="136"/>
      <c r="Q22" s="360" t="s">
        <v>386</v>
      </c>
      <c r="R22" s="360"/>
      <c r="S22" s="360"/>
      <c r="T22" s="360"/>
      <c r="U22" s="360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  <c r="AH22" s="214"/>
      <c r="AI22" s="214"/>
      <c r="AJ22" s="214"/>
      <c r="AK22" s="214"/>
    </row>
    <row r="23" spans="1:37" ht="15.75" customHeight="1">
      <c r="A23" s="386"/>
      <c r="B23" s="132" t="s">
        <v>93</v>
      </c>
      <c r="C23" s="429" t="s">
        <v>94</v>
      </c>
      <c r="D23" s="429"/>
      <c r="E23" s="429"/>
      <c r="F23" s="133" t="s">
        <v>63</v>
      </c>
      <c r="G23" s="134">
        <f>IF(T14=T2,'Extra Ded. '!E18,"0")</f>
        <v>0</v>
      </c>
      <c r="H23" s="135" t="s">
        <v>95</v>
      </c>
      <c r="I23" s="408" t="s">
        <v>96</v>
      </c>
      <c r="J23" s="408"/>
      <c r="K23" s="408"/>
      <c r="L23" s="133" t="s">
        <v>63</v>
      </c>
      <c r="M23" s="137">
        <f>IF(T14=T2,'Extra Ded. '!E19,"0")</f>
        <v>0</v>
      </c>
      <c r="N23" s="415"/>
      <c r="O23" s="433"/>
      <c r="P23" s="136"/>
      <c r="Q23" s="360"/>
      <c r="R23" s="360"/>
      <c r="S23" s="360"/>
      <c r="T23" s="360"/>
      <c r="U23" s="360"/>
      <c r="V23" s="214"/>
      <c r="W23" s="214"/>
      <c r="X23" s="214"/>
      <c r="Y23" s="214"/>
      <c r="Z23" s="214">
        <f>IF(AA23&gt;AB23,AB23,AA23)</f>
        <v>44436</v>
      </c>
      <c r="AA23" s="214">
        <f>IF('Master Data'!I25='Master Data'!V18,0,ROUND(10%*'GA55 '!M27,0))</f>
        <v>45158</v>
      </c>
      <c r="AB23" s="214">
        <f>IF('Master Data'!I25='Master Data'!V19,'GA55 '!P27,0)</f>
        <v>44436</v>
      </c>
      <c r="AC23" s="214"/>
      <c r="AD23" s="214"/>
      <c r="AE23" s="214"/>
      <c r="AF23" s="214"/>
      <c r="AG23" s="214"/>
      <c r="AH23" s="361" t="s">
        <v>387</v>
      </c>
      <c r="AI23" s="361"/>
      <c r="AJ23" s="361"/>
      <c r="AK23" s="361"/>
    </row>
    <row r="24" spans="1:37" ht="15.75">
      <c r="A24" s="386"/>
      <c r="B24" s="132" t="s">
        <v>97</v>
      </c>
      <c r="C24" s="429" t="s">
        <v>98</v>
      </c>
      <c r="D24" s="429"/>
      <c r="E24" s="429"/>
      <c r="F24" s="133" t="s">
        <v>63</v>
      </c>
      <c r="G24" s="134">
        <f>IF(T14=T2,'Extra Ded. '!E20,"0")</f>
        <v>0</v>
      </c>
      <c r="H24" s="135" t="s">
        <v>99</v>
      </c>
      <c r="I24" s="408" t="s">
        <v>100</v>
      </c>
      <c r="J24" s="408"/>
      <c r="K24" s="408"/>
      <c r="L24" s="133" t="s">
        <v>63</v>
      </c>
      <c r="M24" s="137">
        <f>IF(T14=T2,'Extra Ded. '!E16,"0")</f>
        <v>0</v>
      </c>
      <c r="N24" s="415"/>
      <c r="O24" s="433"/>
      <c r="P24" s="136"/>
      <c r="Q24" s="360"/>
      <c r="R24" s="360"/>
      <c r="S24" s="360"/>
      <c r="T24" s="360"/>
      <c r="U24" s="360"/>
      <c r="V24" s="214"/>
      <c r="W24" s="214"/>
      <c r="X24" s="214"/>
      <c r="Y24" s="214"/>
      <c r="Z24" s="216">
        <f>SUM(G21:G31)+SUM(M22:M30)+O33</f>
        <v>46836</v>
      </c>
      <c r="AA24" s="214">
        <f>IF('Extra Ded. '!I14&gt;50000,50000,'Extra Ded. '!I14)</f>
        <v>50000</v>
      </c>
      <c r="AB24" s="214">
        <f>IF(Z24&gt;150000,Z24-150000,0)</f>
        <v>0</v>
      </c>
      <c r="AC24" s="214"/>
      <c r="AD24" s="214"/>
      <c r="AE24" s="214"/>
      <c r="AF24" s="214"/>
      <c r="AG24" s="214"/>
      <c r="AH24" s="361"/>
      <c r="AI24" s="361"/>
      <c r="AJ24" s="361"/>
      <c r="AK24" s="361"/>
    </row>
    <row r="25" spans="1:37" ht="16.5" thickBot="1">
      <c r="A25" s="386"/>
      <c r="B25" s="132" t="s">
        <v>101</v>
      </c>
      <c r="C25" s="429" t="s">
        <v>102</v>
      </c>
      <c r="D25" s="429"/>
      <c r="E25" s="429"/>
      <c r="F25" s="133" t="s">
        <v>63</v>
      </c>
      <c r="G25" s="134">
        <f>IF(T14=T2,'Extra Ded. '!E21,"0")</f>
        <v>0</v>
      </c>
      <c r="H25" s="135" t="s">
        <v>103</v>
      </c>
      <c r="I25" s="408" t="s">
        <v>104</v>
      </c>
      <c r="J25" s="408"/>
      <c r="K25" s="408"/>
      <c r="L25" s="133" t="s">
        <v>63</v>
      </c>
      <c r="M25" s="134">
        <f>IF(T14=T2,'Extra Ded. '!I6,"0")</f>
        <v>0</v>
      </c>
      <c r="N25" s="415"/>
      <c r="O25" s="433"/>
      <c r="P25" s="126"/>
      <c r="Q25" s="126"/>
      <c r="S25" s="86"/>
    </row>
    <row r="26" spans="1:37" ht="15.75">
      <c r="A26" s="386"/>
      <c r="B26" s="132" t="s">
        <v>105</v>
      </c>
      <c r="C26" s="429" t="s">
        <v>106</v>
      </c>
      <c r="D26" s="429"/>
      <c r="E26" s="429"/>
      <c r="F26" s="133" t="s">
        <v>63</v>
      </c>
      <c r="G26" s="134" t="str">
        <f>IF(AND(T14=T2,'Master Data'!I25='Master Data'!V18),'GA55 '!O27,"0")</f>
        <v>0</v>
      </c>
      <c r="H26" s="135" t="s">
        <v>107</v>
      </c>
      <c r="I26" s="408" t="s">
        <v>108</v>
      </c>
      <c r="J26" s="408"/>
      <c r="K26" s="408"/>
      <c r="L26" s="133" t="s">
        <v>63</v>
      </c>
      <c r="M26" s="134">
        <f>IF(T14=T2,'Extra Ded. '!I8,"0")</f>
        <v>0</v>
      </c>
      <c r="N26" s="415"/>
      <c r="O26" s="433"/>
      <c r="P26" s="126"/>
      <c r="Q26" s="362" t="s">
        <v>208</v>
      </c>
      <c r="R26" s="363"/>
      <c r="S26" s="364"/>
    </row>
    <row r="27" spans="1:37" ht="15.75" customHeight="1">
      <c r="A27" s="386"/>
      <c r="B27" s="132" t="s">
        <v>109</v>
      </c>
      <c r="C27" s="429" t="s">
        <v>110</v>
      </c>
      <c r="D27" s="429"/>
      <c r="E27" s="429"/>
      <c r="F27" s="133" t="s">
        <v>63</v>
      </c>
      <c r="G27" s="137">
        <f>IF(T14=T2,'GA55 '!Q27,"0")</f>
        <v>2400</v>
      </c>
      <c r="H27" s="135" t="s">
        <v>111</v>
      </c>
      <c r="I27" s="436" t="s">
        <v>112</v>
      </c>
      <c r="J27" s="436"/>
      <c r="K27" s="436"/>
      <c r="L27" s="133" t="s">
        <v>63</v>
      </c>
      <c r="M27" s="134">
        <f>IF(T14=T2,'Extra Ded. '!E15,"0")</f>
        <v>0</v>
      </c>
      <c r="N27" s="415"/>
      <c r="O27" s="433"/>
      <c r="P27" s="126"/>
      <c r="Q27" s="365"/>
      <c r="R27" s="366"/>
      <c r="S27" s="367"/>
      <c r="AA27" s="14">
        <f>IFERROR(SUM(Z23)-MIN(AA24,AB24),0)</f>
        <v>44436</v>
      </c>
      <c r="AC27" s="14">
        <f>MIN(AA24,AB24)</f>
        <v>0</v>
      </c>
    </row>
    <row r="28" spans="1:37" ht="15.75" customHeight="1">
      <c r="A28" s="386"/>
      <c r="B28" s="132" t="s">
        <v>113</v>
      </c>
      <c r="C28" s="429" t="s">
        <v>114</v>
      </c>
      <c r="D28" s="429"/>
      <c r="E28" s="429"/>
      <c r="F28" s="133" t="s">
        <v>63</v>
      </c>
      <c r="G28" s="137">
        <f>IF(T14=T2,'Extra Ded. '!E17,"0")</f>
        <v>0</v>
      </c>
      <c r="H28" s="135" t="s">
        <v>115</v>
      </c>
      <c r="I28" s="417" t="s">
        <v>367</v>
      </c>
      <c r="J28" s="417"/>
      <c r="K28" s="417"/>
      <c r="L28" s="133" t="s">
        <v>63</v>
      </c>
      <c r="M28" s="134">
        <f>IF(T14=T2,'Extra Ded. '!I10,"0")</f>
        <v>0</v>
      </c>
      <c r="N28" s="415"/>
      <c r="O28" s="433"/>
      <c r="P28" s="126"/>
      <c r="Q28" s="365"/>
      <c r="R28" s="366"/>
      <c r="S28" s="367"/>
    </row>
    <row r="29" spans="1:37" ht="15.75">
      <c r="A29" s="386"/>
      <c r="B29" s="132" t="s">
        <v>116</v>
      </c>
      <c r="C29" s="429" t="s">
        <v>117</v>
      </c>
      <c r="D29" s="429"/>
      <c r="E29" s="429"/>
      <c r="F29" s="133" t="s">
        <v>63</v>
      </c>
      <c r="G29" s="137">
        <f>IF(T14=T2,'Extra Ded. '!E12,"0")</f>
        <v>0</v>
      </c>
      <c r="H29" s="135" t="s">
        <v>118</v>
      </c>
      <c r="I29" s="417" t="s">
        <v>119</v>
      </c>
      <c r="J29" s="417"/>
      <c r="K29" s="417"/>
      <c r="L29" s="133" t="s">
        <v>63</v>
      </c>
      <c r="M29" s="134">
        <f>IF(T14=T2,'Extra Ded. '!E22,"0")</f>
        <v>0</v>
      </c>
      <c r="N29" s="415"/>
      <c r="O29" s="433"/>
      <c r="P29" s="126"/>
      <c r="Q29" s="365"/>
      <c r="R29" s="366"/>
      <c r="S29" s="367"/>
      <c r="AA29" s="14">
        <f>IF(Z24&gt;=200000,50000,AC27)</f>
        <v>0</v>
      </c>
    </row>
    <row r="30" spans="1:37" ht="15.75">
      <c r="A30" s="386"/>
      <c r="B30" s="132" t="s">
        <v>120</v>
      </c>
      <c r="C30" s="435" t="s">
        <v>431</v>
      </c>
      <c r="D30" s="435"/>
      <c r="E30" s="435"/>
      <c r="F30" s="133" t="s">
        <v>63</v>
      </c>
      <c r="G30" s="134">
        <f>IF(T14=T2,'Extra Ded. '!E14,"0")</f>
        <v>0</v>
      </c>
      <c r="H30" s="135" t="s">
        <v>121</v>
      </c>
      <c r="I30" s="436" t="s">
        <v>369</v>
      </c>
      <c r="J30" s="436"/>
      <c r="K30" s="436"/>
      <c r="L30" s="133" t="s">
        <v>63</v>
      </c>
      <c r="M30" s="134">
        <f>IF(T14=T2,'Extra Ded. '!E24,"0")</f>
        <v>0</v>
      </c>
      <c r="N30" s="415"/>
      <c r="O30" s="433"/>
      <c r="P30" s="126"/>
      <c r="Q30" s="365"/>
      <c r="R30" s="366"/>
      <c r="S30" s="367"/>
    </row>
    <row r="31" spans="1:37" ht="16.5" thickBot="1">
      <c r="A31" s="386"/>
      <c r="B31" s="132" t="s">
        <v>388</v>
      </c>
      <c r="C31" s="470"/>
      <c r="D31" s="470"/>
      <c r="E31" s="470"/>
      <c r="F31" s="133" t="s">
        <v>63</v>
      </c>
      <c r="G31" s="222"/>
      <c r="H31" s="467" t="s">
        <v>122</v>
      </c>
      <c r="I31" s="468"/>
      <c r="J31" s="468"/>
      <c r="K31" s="469"/>
      <c r="L31" s="133" t="s">
        <v>63</v>
      </c>
      <c r="M31" s="138">
        <f>SUM(G21:G31)+SUM(M21:M30)</f>
        <v>46836</v>
      </c>
      <c r="N31" s="415"/>
      <c r="O31" s="433"/>
      <c r="P31" s="126"/>
      <c r="Q31" s="368"/>
      <c r="R31" s="369"/>
      <c r="S31" s="370"/>
      <c r="AA31" s="14">
        <f>('Extra Ded. '!I23+'Extra Ded. '!I21)</f>
        <v>1000</v>
      </c>
    </row>
    <row r="32" spans="1:37" ht="15.75" customHeight="1">
      <c r="A32" s="386"/>
      <c r="B32" s="399" t="s">
        <v>123</v>
      </c>
      <c r="C32" s="399"/>
      <c r="D32" s="399"/>
      <c r="E32" s="399"/>
      <c r="F32" s="399"/>
      <c r="G32" s="399"/>
      <c r="H32" s="399"/>
      <c r="I32" s="399"/>
      <c r="J32" s="399"/>
      <c r="K32" s="399"/>
      <c r="L32" s="399"/>
      <c r="M32" s="399"/>
      <c r="N32" s="139" t="s">
        <v>63</v>
      </c>
      <c r="O32" s="122">
        <f>IF(M31&lt;150001,ROUND(M31,0),150000)</f>
        <v>46836</v>
      </c>
      <c r="P32" s="123"/>
      <c r="Q32" s="48"/>
      <c r="R32" s="94" t="s">
        <v>207</v>
      </c>
      <c r="S32" s="450" t="s">
        <v>382</v>
      </c>
      <c r="T32" s="163"/>
      <c r="U32" s="89"/>
      <c r="V32" s="89"/>
      <c r="W32" s="89"/>
      <c r="AA32" s="14">
        <f>IF(AA31&gt;10000,10000,AA31)</f>
        <v>1000</v>
      </c>
      <c r="AB32" s="14">
        <f>IF(AA31&gt;50000,50000,AA31)</f>
        <v>1000</v>
      </c>
    </row>
    <row r="33" spans="1:28" ht="15.75" customHeight="1">
      <c r="A33" s="386"/>
      <c r="B33" s="466" t="s">
        <v>124</v>
      </c>
      <c r="C33" s="466"/>
      <c r="D33" s="466"/>
      <c r="E33" s="466"/>
      <c r="F33" s="466"/>
      <c r="G33" s="466"/>
      <c r="H33" s="466"/>
      <c r="I33" s="466"/>
      <c r="J33" s="466"/>
      <c r="K33" s="466"/>
      <c r="L33" s="466"/>
      <c r="M33" s="466"/>
      <c r="N33" s="139"/>
      <c r="O33" s="122">
        <f>IF('Master Data'!I25='Master Data'!V19,'GA55 '!P27,0)</f>
        <v>44436</v>
      </c>
      <c r="P33" s="125"/>
      <c r="Q33" s="48"/>
      <c r="R33" s="89"/>
      <c r="S33" s="451"/>
      <c r="T33" s="163"/>
      <c r="U33" s="89"/>
      <c r="V33" s="89"/>
      <c r="W33" s="89"/>
      <c r="AA33" s="14">
        <f>IF('Master Data'!D18="Under 60",AA32,IF('Master Data'!D18="Above 60",AB32,IF('Master Data'!D18="Above 80",AB32,0)))</f>
        <v>1000</v>
      </c>
    </row>
    <row r="34" spans="1:28" ht="15.75" customHeight="1">
      <c r="A34" s="386"/>
      <c r="B34" s="488" t="s">
        <v>125</v>
      </c>
      <c r="C34" s="488"/>
      <c r="D34" s="488"/>
      <c r="E34" s="488"/>
      <c r="F34" s="488"/>
      <c r="G34" s="488"/>
      <c r="H34" s="488"/>
      <c r="I34" s="488"/>
      <c r="J34" s="488"/>
      <c r="K34" s="488"/>
      <c r="L34" s="488"/>
      <c r="M34" s="488"/>
      <c r="N34" s="139" t="s">
        <v>63</v>
      </c>
      <c r="O34" s="221">
        <f>IF(T14=T1,0,IF(T34=T36,AB35,0))</f>
        <v>0</v>
      </c>
      <c r="P34" s="125"/>
      <c r="Q34" s="125"/>
      <c r="R34" s="89"/>
      <c r="S34" s="451"/>
      <c r="T34" s="164" t="b">
        <v>0</v>
      </c>
      <c r="U34" s="89"/>
      <c r="V34" s="89"/>
      <c r="W34" s="89"/>
    </row>
    <row r="35" spans="1:28" ht="17.25" customHeight="1">
      <c r="A35" s="386"/>
      <c r="B35" s="489" t="s">
        <v>126</v>
      </c>
      <c r="C35" s="489"/>
      <c r="D35" s="489"/>
      <c r="E35" s="489"/>
      <c r="F35" s="489"/>
      <c r="G35" s="489"/>
      <c r="H35" s="489"/>
      <c r="I35" s="489"/>
      <c r="J35" s="489"/>
      <c r="K35" s="489"/>
      <c r="L35" s="489"/>
      <c r="M35" s="489"/>
      <c r="N35" s="139" t="s">
        <v>63</v>
      </c>
      <c r="O35" s="122">
        <f>SUM(O32:O34)</f>
        <v>91272</v>
      </c>
      <c r="P35" s="123"/>
      <c r="Q35" s="123"/>
      <c r="R35" s="89"/>
      <c r="S35" s="89"/>
      <c r="T35" s="163"/>
      <c r="U35" s="89"/>
      <c r="V35" s="89"/>
      <c r="W35" s="89"/>
      <c r="AB35" s="14">
        <f>IF('Master Data'!I25='Master Data'!V19,AA29,0)</f>
        <v>0</v>
      </c>
    </row>
    <row r="36" spans="1:28" ht="15.75" customHeight="1">
      <c r="A36" s="386">
        <v>12</v>
      </c>
      <c r="B36" s="441" t="s">
        <v>127</v>
      </c>
      <c r="C36" s="441"/>
      <c r="D36" s="441"/>
      <c r="E36" s="441"/>
      <c r="F36" s="441"/>
      <c r="G36" s="441"/>
      <c r="H36" s="441"/>
      <c r="I36" s="441"/>
      <c r="J36" s="441"/>
      <c r="K36" s="441"/>
      <c r="L36" s="441"/>
      <c r="M36" s="441"/>
      <c r="N36" s="441"/>
      <c r="O36" s="465"/>
      <c r="P36" s="130"/>
      <c r="Q36" s="130"/>
      <c r="R36" s="89"/>
      <c r="S36" s="89"/>
      <c r="T36" s="164" t="b">
        <v>1</v>
      </c>
      <c r="U36" s="89"/>
      <c r="V36" s="89"/>
      <c r="W36" s="89"/>
    </row>
    <row r="37" spans="1:28" s="50" customFormat="1" ht="15.75" customHeight="1">
      <c r="A37" s="386"/>
      <c r="B37" s="398" t="s">
        <v>128</v>
      </c>
      <c r="C37" s="398"/>
      <c r="D37" s="398"/>
      <c r="E37" s="398"/>
      <c r="F37" s="398"/>
      <c r="G37" s="398"/>
      <c r="H37" s="398"/>
      <c r="I37" s="398"/>
      <c r="J37" s="398"/>
      <c r="K37" s="398"/>
      <c r="L37" s="398"/>
      <c r="M37" s="398"/>
      <c r="N37" s="139" t="s">
        <v>63</v>
      </c>
      <c r="O37" s="140">
        <f>IF(T14=T2,'Extra Ded. '!I15,"0")</f>
        <v>0</v>
      </c>
      <c r="P37" s="125"/>
      <c r="Q37" s="125"/>
      <c r="R37" s="89"/>
      <c r="S37" s="89"/>
      <c r="T37" s="89"/>
      <c r="U37" s="89"/>
      <c r="V37" s="89"/>
      <c r="W37" s="89"/>
    </row>
    <row r="38" spans="1:28" s="50" customFormat="1" ht="15.75">
      <c r="A38" s="386"/>
      <c r="B38" s="398" t="s">
        <v>129</v>
      </c>
      <c r="C38" s="398"/>
      <c r="D38" s="398"/>
      <c r="E38" s="398"/>
      <c r="F38" s="398"/>
      <c r="G38" s="398"/>
      <c r="H38" s="398"/>
      <c r="I38" s="398"/>
      <c r="J38" s="398"/>
      <c r="K38" s="398"/>
      <c r="L38" s="398"/>
      <c r="M38" s="398"/>
      <c r="N38" s="139" t="s">
        <v>63</v>
      </c>
      <c r="O38" s="140">
        <f>IF(T14=T2,'Extra Ded. '!I16,"0")</f>
        <v>0</v>
      </c>
      <c r="P38" s="125"/>
      <c r="Q38" s="125"/>
      <c r="AB38" s="87">
        <f>'GA55 '!N27+'GA55 '!P27+'Extra Ded. '!E18+'Extra Ded. '!E20+'Extra Ded. '!E21+'GA55 '!O27+'GA55 '!Z27+'Extra Ded. '!E17+'Extra Ded. '!E12+'Extra Ded. '!E14+'Extra Ded. '!I12+'Extra Ded. '!E19+'Extra Ded. '!E16+'Extra Ded. '!I6+'Extra Ded. '!I8+'Extra Ded. '!E15+'Extra Ded. '!I10+'Extra Ded. '!E22+'Extra Ded. '!E24</f>
        <v>44436</v>
      </c>
    </row>
    <row r="39" spans="1:28" s="50" customFormat="1" ht="15.75">
      <c r="A39" s="386"/>
      <c r="B39" s="398" t="s">
        <v>130</v>
      </c>
      <c r="C39" s="398"/>
      <c r="D39" s="398"/>
      <c r="E39" s="398"/>
      <c r="F39" s="398"/>
      <c r="G39" s="398"/>
      <c r="H39" s="398"/>
      <c r="I39" s="398"/>
      <c r="J39" s="398"/>
      <c r="K39" s="398"/>
      <c r="L39" s="398"/>
      <c r="M39" s="398"/>
      <c r="N39" s="139" t="s">
        <v>63</v>
      </c>
      <c r="O39" s="140">
        <f>IF(T14=T2,'Extra Ded. '!I17,"0")</f>
        <v>0</v>
      </c>
      <c r="P39" s="125"/>
      <c r="Q39" s="125"/>
    </row>
    <row r="40" spans="1:28" s="50" customFormat="1" ht="16.5" thickBot="1">
      <c r="A40" s="386"/>
      <c r="B40" s="398" t="s">
        <v>131</v>
      </c>
      <c r="C40" s="398"/>
      <c r="D40" s="398"/>
      <c r="E40" s="398"/>
      <c r="F40" s="398"/>
      <c r="G40" s="398"/>
      <c r="H40" s="398"/>
      <c r="I40" s="398"/>
      <c r="J40" s="398"/>
      <c r="K40" s="398"/>
      <c r="L40" s="398"/>
      <c r="M40" s="398"/>
      <c r="N40" s="139" t="s">
        <v>63</v>
      </c>
      <c r="O40" s="140">
        <f>IF(T14=T2,'Extra Ded. '!I18,"0")</f>
        <v>0</v>
      </c>
      <c r="P40" s="125"/>
      <c r="Q40" s="125"/>
      <c r="AB40" s="88">
        <f>'Extra Ded. '!I15+'Extra Ded. '!I16+'Extra Ded. '!I17+'Extra Ded. '!I18+('Extra Ded. '!I19+'GA55 '!V27)+'Extra Ded. '!I20+AA33+'Extra Ded. '!I22</f>
        <v>1000</v>
      </c>
    </row>
    <row r="41" spans="1:28" s="50" customFormat="1" ht="16.5" thickTop="1">
      <c r="A41" s="386"/>
      <c r="B41" s="398" t="s">
        <v>196</v>
      </c>
      <c r="C41" s="398"/>
      <c r="D41" s="398"/>
      <c r="E41" s="398"/>
      <c r="F41" s="398"/>
      <c r="G41" s="398"/>
      <c r="H41" s="398"/>
      <c r="I41" s="398"/>
      <c r="J41" s="398"/>
      <c r="K41" s="398"/>
      <c r="L41" s="398"/>
      <c r="M41" s="398"/>
      <c r="N41" s="139" t="s">
        <v>63</v>
      </c>
      <c r="O41" s="242">
        <f>IF(T14=T2,('Extra Ded. '!I19+'GA55 '!S27),"0")</f>
        <v>12000</v>
      </c>
      <c r="P41" s="125"/>
      <c r="Q41" s="125"/>
      <c r="R41" s="452" t="s">
        <v>385</v>
      </c>
      <c r="S41" s="453"/>
      <c r="T41" s="453"/>
      <c r="U41" s="453"/>
      <c r="V41" s="454"/>
    </row>
    <row r="42" spans="1:28" s="50" customFormat="1" ht="15.75">
      <c r="A42" s="386"/>
      <c r="B42" s="398" t="s">
        <v>132</v>
      </c>
      <c r="C42" s="398"/>
      <c r="D42" s="398"/>
      <c r="E42" s="398"/>
      <c r="F42" s="398"/>
      <c r="G42" s="398"/>
      <c r="H42" s="398"/>
      <c r="I42" s="398"/>
      <c r="J42" s="398"/>
      <c r="K42" s="398"/>
      <c r="L42" s="398"/>
      <c r="M42" s="398"/>
      <c r="N42" s="139" t="s">
        <v>63</v>
      </c>
      <c r="O42" s="140">
        <f>IF(T14=T2,'Extra Ded. '!I20,"0")</f>
        <v>0</v>
      </c>
      <c r="P42" s="125"/>
      <c r="Q42" s="125"/>
      <c r="R42" s="455"/>
      <c r="S42" s="456"/>
      <c r="T42" s="456"/>
      <c r="U42" s="456"/>
      <c r="V42" s="457"/>
    </row>
    <row r="43" spans="1:28" s="50" customFormat="1" ht="16.5" thickBot="1">
      <c r="A43" s="386"/>
      <c r="B43" s="398" t="s">
        <v>133</v>
      </c>
      <c r="C43" s="398"/>
      <c r="D43" s="398"/>
      <c r="E43" s="398"/>
      <c r="F43" s="398"/>
      <c r="G43" s="398"/>
      <c r="H43" s="398"/>
      <c r="I43" s="398"/>
      <c r="J43" s="398"/>
      <c r="K43" s="398"/>
      <c r="L43" s="398"/>
      <c r="M43" s="398"/>
      <c r="N43" s="139" t="s">
        <v>63</v>
      </c>
      <c r="O43" s="140">
        <f>IF(T14=T2,AA33,"0")</f>
        <v>1000</v>
      </c>
      <c r="P43" s="125"/>
      <c r="Q43" s="125"/>
      <c r="R43" s="455"/>
      <c r="S43" s="456"/>
      <c r="T43" s="456"/>
      <c r="U43" s="458"/>
      <c r="V43" s="459"/>
    </row>
    <row r="44" spans="1:28" ht="16.5" thickTop="1">
      <c r="A44" s="386"/>
      <c r="B44" s="398" t="s">
        <v>134</v>
      </c>
      <c r="C44" s="398"/>
      <c r="D44" s="398"/>
      <c r="E44" s="398"/>
      <c r="F44" s="398"/>
      <c r="G44" s="398"/>
      <c r="H44" s="398"/>
      <c r="I44" s="398"/>
      <c r="J44" s="398"/>
      <c r="K44" s="398"/>
      <c r="L44" s="398"/>
      <c r="M44" s="398"/>
      <c r="N44" s="139" t="s">
        <v>63</v>
      </c>
      <c r="O44" s="140">
        <f>IF(T14=T2,'Extra Ded. '!I22,"0")</f>
        <v>0</v>
      </c>
      <c r="P44" s="125"/>
      <c r="Q44" s="125"/>
      <c r="R44" s="460" t="s">
        <v>376</v>
      </c>
      <c r="S44" s="461"/>
      <c r="T44" s="208"/>
    </row>
    <row r="45" spans="1:28" ht="16.5" thickBot="1">
      <c r="A45" s="386"/>
      <c r="B45" s="399" t="s">
        <v>135</v>
      </c>
      <c r="C45" s="399"/>
      <c r="D45" s="399"/>
      <c r="E45" s="399"/>
      <c r="F45" s="399"/>
      <c r="G45" s="399"/>
      <c r="H45" s="399"/>
      <c r="I45" s="399"/>
      <c r="J45" s="399"/>
      <c r="K45" s="399"/>
      <c r="L45" s="399"/>
      <c r="M45" s="399"/>
      <c r="N45" s="139" t="s">
        <v>63</v>
      </c>
      <c r="O45" s="141">
        <f>SUM(O37:O44)</f>
        <v>13000</v>
      </c>
      <c r="P45" s="142"/>
      <c r="Q45" s="142"/>
      <c r="R45" s="462"/>
      <c r="S45" s="463"/>
      <c r="T45" s="209"/>
    </row>
    <row r="46" spans="1:28" ht="16.5" thickTop="1">
      <c r="A46" s="124">
        <v>13</v>
      </c>
      <c r="B46" s="464" t="s">
        <v>136</v>
      </c>
      <c r="C46" s="464"/>
      <c r="D46" s="464"/>
      <c r="E46" s="464"/>
      <c r="F46" s="464"/>
      <c r="G46" s="464"/>
      <c r="H46" s="464"/>
      <c r="I46" s="464"/>
      <c r="J46" s="464"/>
      <c r="K46" s="464"/>
      <c r="L46" s="464"/>
      <c r="M46" s="464"/>
      <c r="N46" s="139" t="s">
        <v>63</v>
      </c>
      <c r="O46" s="122">
        <f>O35+O45</f>
        <v>104272</v>
      </c>
      <c r="P46" s="125"/>
      <c r="Q46" s="125"/>
    </row>
    <row r="47" spans="1:28" ht="15.75">
      <c r="A47" s="124">
        <v>14</v>
      </c>
      <c r="B47" s="398" t="s">
        <v>137</v>
      </c>
      <c r="C47" s="398"/>
      <c r="D47" s="398"/>
      <c r="E47" s="398"/>
      <c r="F47" s="398"/>
      <c r="G47" s="398"/>
      <c r="H47" s="398"/>
      <c r="I47" s="398"/>
      <c r="J47" s="398"/>
      <c r="K47" s="398"/>
      <c r="L47" s="398"/>
      <c r="M47" s="398"/>
      <c r="N47" s="139" t="s">
        <v>63</v>
      </c>
      <c r="O47" s="122">
        <f>(O18-O46)</f>
        <v>342748</v>
      </c>
      <c r="P47" s="125"/>
      <c r="Q47" s="125"/>
    </row>
    <row r="48" spans="1:28" s="50" customFormat="1" ht="15.75">
      <c r="A48" s="124">
        <v>15</v>
      </c>
      <c r="B48" s="464" t="s">
        <v>138</v>
      </c>
      <c r="C48" s="464"/>
      <c r="D48" s="464"/>
      <c r="E48" s="464"/>
      <c r="F48" s="464"/>
      <c r="G48" s="464"/>
      <c r="H48" s="464"/>
      <c r="I48" s="464"/>
      <c r="J48" s="464"/>
      <c r="K48" s="464"/>
      <c r="L48" s="464"/>
      <c r="M48" s="464"/>
      <c r="N48" s="139" t="s">
        <v>63</v>
      </c>
      <c r="O48" s="122">
        <f>ROUND(O47,-1)</f>
        <v>342750</v>
      </c>
      <c r="P48" s="123"/>
      <c r="Q48" s="123"/>
    </row>
    <row r="49" spans="1:31" s="50" customFormat="1" ht="15.75">
      <c r="A49" s="386">
        <v>16</v>
      </c>
      <c r="B49" s="398" t="s">
        <v>139</v>
      </c>
      <c r="C49" s="398"/>
      <c r="D49" s="398"/>
      <c r="E49" s="398"/>
      <c r="F49" s="398"/>
      <c r="G49" s="398"/>
      <c r="H49" s="398"/>
      <c r="I49" s="398"/>
      <c r="J49" s="398"/>
      <c r="K49" s="398"/>
      <c r="L49" s="398"/>
      <c r="M49" s="398"/>
      <c r="N49" s="398"/>
      <c r="O49" s="444"/>
      <c r="P49" s="143"/>
      <c r="Q49" s="143"/>
      <c r="X49" s="258" t="s">
        <v>200</v>
      </c>
      <c r="Y49" s="258"/>
      <c r="Z49" s="258"/>
      <c r="AB49" s="258" t="s">
        <v>201</v>
      </c>
      <c r="AC49" s="258"/>
      <c r="AD49" s="258"/>
    </row>
    <row r="50" spans="1:31" s="50" customFormat="1" ht="15.75">
      <c r="A50" s="386"/>
      <c r="B50" s="445" t="s">
        <v>140</v>
      </c>
      <c r="C50" s="445"/>
      <c r="D50" s="445"/>
      <c r="E50" s="445"/>
      <c r="F50" s="445" t="s">
        <v>141</v>
      </c>
      <c r="G50" s="445"/>
      <c r="H50" s="445"/>
      <c r="I50" s="445"/>
      <c r="J50" s="445" t="s">
        <v>142</v>
      </c>
      <c r="K50" s="445"/>
      <c r="L50" s="445"/>
      <c r="M50" s="445"/>
      <c r="N50" s="144"/>
      <c r="O50" s="145"/>
      <c r="P50" s="146"/>
      <c r="Q50" s="146"/>
      <c r="X50" s="50">
        <v>0</v>
      </c>
      <c r="Y50" s="50">
        <v>0</v>
      </c>
      <c r="Z50" s="50">
        <v>0</v>
      </c>
      <c r="AA50" s="84">
        <v>0</v>
      </c>
      <c r="AB50" s="50">
        <v>0</v>
      </c>
      <c r="AC50" s="50">
        <v>0</v>
      </c>
      <c r="AD50" s="50">
        <v>0</v>
      </c>
      <c r="AE50" s="85">
        <v>0</v>
      </c>
    </row>
    <row r="51" spans="1:31" s="50" customFormat="1" ht="15.75">
      <c r="A51" s="386"/>
      <c r="B51" s="446" t="s">
        <v>184</v>
      </c>
      <c r="C51" s="446"/>
      <c r="D51" s="446"/>
      <c r="E51" s="147">
        <v>0</v>
      </c>
      <c r="F51" s="446" t="str">
        <f>IF(T14=T2,"Up to Rs. 3,00,000","Up to Rs. 2,50,000")</f>
        <v>Up to Rs. 3,00,000</v>
      </c>
      <c r="G51" s="446"/>
      <c r="H51" s="446"/>
      <c r="I51" s="147">
        <v>0</v>
      </c>
      <c r="J51" s="446" t="str">
        <f>IF(T14=T2,"","Up to Rs. 2,50,000")</f>
        <v/>
      </c>
      <c r="K51" s="446"/>
      <c r="L51" s="446"/>
      <c r="M51" s="147">
        <v>0</v>
      </c>
      <c r="N51" s="139" t="s">
        <v>63</v>
      </c>
      <c r="O51" s="148">
        <v>0</v>
      </c>
      <c r="P51" s="149"/>
      <c r="Q51" s="149"/>
      <c r="X51" s="50">
        <f>ROUND(IF(O48&lt;=250000,0,IF(O48&gt;=500000,12500,IF(O48&lt;=500000,0+(O48-250000)*0.05))),0)</f>
        <v>4638</v>
      </c>
      <c r="Y51" s="50">
        <f>ROUND(IF(O48&lt;=300000,0,IF(O48&gt;=500000,10000,IF(O48&lt;=500000,(O48-300000)*0.05))),0)</f>
        <v>2138</v>
      </c>
      <c r="Z51" s="50">
        <v>0</v>
      </c>
      <c r="AA51" s="84">
        <f>IF('Master Data'!D18="Under 60",X51,IF('Master Data'!D18="Above 60",Y51,Z51))</f>
        <v>4638</v>
      </c>
      <c r="AB51" s="50">
        <f>ROUND(IF(O48&lt;250001,0,IF(O48&gt;500000,12500,((O48-250000)*0.05))),0)</f>
        <v>4638</v>
      </c>
      <c r="AC51" s="50">
        <f>ROUND(IF(O48&lt;250001,0,IF(O48&gt;500000,12500,((O48-250000)*0.05))),0)</f>
        <v>4638</v>
      </c>
      <c r="AD51" s="50">
        <f>ROUND(IF(O48&lt;250001,0,IF(O48&gt;500000,12500,((O48-250000)*0.05))),0)</f>
        <v>4638</v>
      </c>
      <c r="AE51" s="85">
        <f>IF('Master Data'!D18="Under 60",AB51,IF('Master Data'!D18="Above 60",AC51,AD51))</f>
        <v>4638</v>
      </c>
    </row>
    <row r="52" spans="1:31" s="50" customFormat="1" ht="15.75">
      <c r="A52" s="386"/>
      <c r="B52" s="446" t="s">
        <v>199</v>
      </c>
      <c r="C52" s="446"/>
      <c r="D52" s="446"/>
      <c r="E52" s="147">
        <v>0.05</v>
      </c>
      <c r="F52" s="446" t="str">
        <f>IF(T14=T2,"3,00,001 to 5,00,000"," 2,50,001 to  5,00,000")</f>
        <v>3,00,001 to 5,00,000</v>
      </c>
      <c r="G52" s="446"/>
      <c r="H52" s="446"/>
      <c r="I52" s="147">
        <v>0.05</v>
      </c>
      <c r="J52" s="446" t="str">
        <f>IF(T14=T2,"Up to Rs. 5,00,000","2,50,001 to  5,00,000")</f>
        <v>Up to Rs. 5,00,000</v>
      </c>
      <c r="K52" s="446"/>
      <c r="L52" s="446"/>
      <c r="M52" s="150" t="str">
        <f>IF(T14=T2,"0%","5%")</f>
        <v>0%</v>
      </c>
      <c r="N52" s="139" t="s">
        <v>63</v>
      </c>
      <c r="O52" s="148">
        <f>IF($T$14=$T$2,AA51,AE51)</f>
        <v>4638</v>
      </c>
      <c r="P52" s="149"/>
      <c r="Q52" s="149"/>
      <c r="X52" s="50">
        <f>ROUND(IF(O48&lt;=500000,0,IF(O48&gt;=1000000,100000,IF(O48&lt;=1000000,(O48-500000)*0.2,"0"))),0)</f>
        <v>0</v>
      </c>
      <c r="Y52" s="50">
        <f>ROUND(IF(O48&lt;=500000,0,IF(O48&gt;=1000000,100000,IF(O48&lt;=1000000,(O48-500000)*0.2,"0"))),0)</f>
        <v>0</v>
      </c>
      <c r="Z52" s="50">
        <f>ROUND(IF(O48&lt;=500000,0,IF(O48&gt;=1000000,100000,IF(O48&lt;=1000000,(O48-500000)*0.2,"0"))),0)</f>
        <v>0</v>
      </c>
      <c r="AA52" s="84">
        <f>IF('Master Data'!D18="Under 60",X52,IF('Master Data'!D18="Above 60",Y52,Z52))</f>
        <v>0</v>
      </c>
      <c r="AB52" s="50">
        <f>ROUND(IF(O48&lt;500001,0,IF(O48&gt;750000,25000,((O48-500000)*0.1))),0)</f>
        <v>0</v>
      </c>
      <c r="AC52" s="50">
        <f>ROUND(IF(O48&lt;500001,0,IF(O48&gt;750000,25000,((O48-500000)*0.1))),0)</f>
        <v>0</v>
      </c>
      <c r="AD52" s="50">
        <f>ROUND(IF(O48&lt;500001,0,IF(O48&gt;750000,25000,((O48-500000)*0.1))),0)</f>
        <v>0</v>
      </c>
      <c r="AE52" s="85">
        <f>IF('Master Data'!D18="Under 60",AB52,IF('Master Data'!D18="Above 60",AC52,AD52))</f>
        <v>0</v>
      </c>
    </row>
    <row r="53" spans="1:31" s="50" customFormat="1" ht="15.75">
      <c r="A53" s="386"/>
      <c r="B53" s="446" t="str">
        <f>IF(T14=T2,"5,00,001 to 10,00,000","5,00,001  to  7,50,000")</f>
        <v>5,00,001 to 10,00,000</v>
      </c>
      <c r="C53" s="446"/>
      <c r="D53" s="446"/>
      <c r="E53" s="147" t="str">
        <f>IF(T14=T2,"20%","10%")</f>
        <v>20%</v>
      </c>
      <c r="F53" s="446" t="str">
        <f>IF(T14=T2,"5,00,001 to 10,00,000","5,00,001  to  7,50,000")</f>
        <v>5,00,001 to 10,00,000</v>
      </c>
      <c r="G53" s="446"/>
      <c r="H53" s="446"/>
      <c r="I53" s="147" t="str">
        <f>IF(T14=T2,"20%","10%")</f>
        <v>20%</v>
      </c>
      <c r="J53" s="446" t="str">
        <f>IF(T14=T2,"5,00,001 to 10,00,000","5,00,001  to  7,50,000")</f>
        <v>5,00,001 to 10,00,000</v>
      </c>
      <c r="K53" s="446"/>
      <c r="L53" s="446"/>
      <c r="M53" s="147" t="str">
        <f>IF(T14=T2,"20%","10%")</f>
        <v>20%</v>
      </c>
      <c r="N53" s="139" t="s">
        <v>63</v>
      </c>
      <c r="O53" s="148">
        <f t="shared" ref="O53:O56" si="0">IF($T$14=$T$2,AA52,AE52)</f>
        <v>0</v>
      </c>
      <c r="P53" s="149"/>
      <c r="Q53" s="149"/>
      <c r="X53" s="50">
        <f>ROUND(IF(O48&gt;1000000,(O48-1000000)*0.3,"0"),0)</f>
        <v>0</v>
      </c>
      <c r="Y53" s="50">
        <f>ROUND(IF(O48&gt;1000000,(O48-1000000)*0.3,"0"),0)</f>
        <v>0</v>
      </c>
      <c r="Z53" s="50">
        <f>ROUND(IF(O48&gt;1000000,(O48-1000000)*0.3,"0"),0)</f>
        <v>0</v>
      </c>
      <c r="AA53" s="84">
        <f>IF('Master Data'!D18="Under 60",X53,IF('Master Data'!D18="Above 60",Y53,Z53))</f>
        <v>0</v>
      </c>
      <c r="AB53" s="50">
        <f>ROUND(IF(O48&lt;750001,0,IF(O48&gt;1000000,37500,((O48-750000)*0.15))),0)</f>
        <v>0</v>
      </c>
      <c r="AC53" s="50">
        <f>ROUND(IF(O48&lt;750001,0,IF(O48&gt;1000000,37500,((O48-750000)*0.15))),0)</f>
        <v>0</v>
      </c>
      <c r="AD53" s="50">
        <f>ROUND(IF(O48&lt;750001,0,IF(O48&gt;1000000,37500,((O48-750000)*0.15))),0)</f>
        <v>0</v>
      </c>
      <c r="AE53" s="85">
        <f>IF('Master Data'!D18="Under 60",AB53,IF('Master Data'!D18="Above 60",AC53,AD53))</f>
        <v>0</v>
      </c>
    </row>
    <row r="54" spans="1:31" s="50" customFormat="1" ht="16.5" thickBot="1">
      <c r="A54" s="386"/>
      <c r="B54" s="446" t="str">
        <f>IF(T14=T2,"Above  10,00,000"," 7,50,001 to  10,00,000")</f>
        <v>Above  10,00,000</v>
      </c>
      <c r="C54" s="487"/>
      <c r="D54" s="487"/>
      <c r="E54" s="147" t="str">
        <f>IF(T14=T2,"30%","15%")</f>
        <v>30%</v>
      </c>
      <c r="F54" s="446" t="str">
        <f>IF(T14=T2,"Above  10,00,000"," 7,50,001 to  10,00,000")</f>
        <v>Above  10,00,000</v>
      </c>
      <c r="G54" s="446"/>
      <c r="H54" s="446"/>
      <c r="I54" s="147" t="str">
        <f>IF(T14=T2,"30%","15%")</f>
        <v>30%</v>
      </c>
      <c r="J54" s="446" t="str">
        <f>IF(T14=T2,"Above  10,00,000"," 7,50,001 to  10,00,000")</f>
        <v>Above  10,00,000</v>
      </c>
      <c r="K54" s="446"/>
      <c r="L54" s="446"/>
      <c r="M54" s="147" t="str">
        <f>IF(T14=T2,"30%","15%")</f>
        <v>30%</v>
      </c>
      <c r="N54" s="139" t="s">
        <v>63</v>
      </c>
      <c r="O54" s="148">
        <f t="shared" si="0"/>
        <v>0</v>
      </c>
      <c r="P54" s="149"/>
      <c r="Q54" s="149"/>
      <c r="AA54" s="84">
        <f>IF('Master Data'!D18="Under 60",X54,IF('Master Data'!D18="Above 60",Y54,Z54))</f>
        <v>0</v>
      </c>
      <c r="AB54" s="50">
        <f>ROUND(IF(O48&lt;1000001,0,IF(O48&gt;1250000,50000,((O48-1000000)*0.2))),0)</f>
        <v>0</v>
      </c>
      <c r="AC54" s="50">
        <f>ROUND(IF(O48&lt;1000001,0,IF(O48&gt;1250000,50000,((O48-1000000)*0.2))),0)</f>
        <v>0</v>
      </c>
      <c r="AD54" s="50">
        <f>ROUND(IF(O48&lt;1000001,0,IF(O48&gt;1250000,50000,((O48-1000000)*0.2))),0)</f>
        <v>0</v>
      </c>
      <c r="AE54" s="85">
        <f>IF('Master Data'!D18="Under 60",AB54,IF('Master Data'!D18="Above 60",AC54,AD54))</f>
        <v>0</v>
      </c>
    </row>
    <row r="55" spans="1:31" s="50" customFormat="1" ht="16.5" thickTop="1">
      <c r="A55" s="386"/>
      <c r="B55" s="447" t="str">
        <f>IF(T14=T2," ","10,00,001 to  12,50,000")</f>
        <v xml:space="preserve"> </v>
      </c>
      <c r="C55" s="448"/>
      <c r="D55" s="448"/>
      <c r="E55" s="147" t="str">
        <f>IF(T14=T2," ","20%")</f>
        <v xml:space="preserve"> </v>
      </c>
      <c r="F55" s="446" t="str">
        <f>IF(T14=T2," ","10,00,001 to  12,50,000")</f>
        <v xml:space="preserve"> </v>
      </c>
      <c r="G55" s="446"/>
      <c r="H55" s="446"/>
      <c r="I55" s="147" t="str">
        <f>IF(T14=T2," ","20%")</f>
        <v xml:space="preserve"> </v>
      </c>
      <c r="J55" s="446" t="str">
        <f>IF(T14=T2," ","10,00,001 to  12,50,000")</f>
        <v xml:space="preserve"> </v>
      </c>
      <c r="K55" s="446"/>
      <c r="L55" s="446"/>
      <c r="M55" s="147" t="str">
        <f>IF(T14=T2," ","20%")</f>
        <v xml:space="preserve"> </v>
      </c>
      <c r="N55" s="139" t="str">
        <f>IF(T14=T2," ","#-")</f>
        <v xml:space="preserve"> </v>
      </c>
      <c r="O55" s="148">
        <f>IF($T$14=$T$2,AA54,AE54)</f>
        <v>0</v>
      </c>
      <c r="P55" s="149"/>
      <c r="Q55" s="149"/>
      <c r="R55" s="477" t="s">
        <v>377</v>
      </c>
      <c r="S55" s="478"/>
      <c r="T55" s="478"/>
      <c r="U55" s="478"/>
      <c r="V55" s="479"/>
      <c r="AA55" s="84">
        <f>IF('Master Data'!D18="Under 60",X55,IF('Master Data'!D18="Above 60",Y55,Z55))</f>
        <v>0</v>
      </c>
      <c r="AB55" s="50">
        <f>ROUND(IF(O48&lt;1250001,0,IF(O48&gt;1500000,62500,((O48-1250000)*0.25))),0)</f>
        <v>0</v>
      </c>
      <c r="AC55" s="50">
        <f>ROUND(IF(O48&lt;1250001,0,IF(O48&gt;1500000,62500,((O48-1250000)*0.25))),0)</f>
        <v>0</v>
      </c>
      <c r="AD55" s="50">
        <f>ROUND(IF(O48&lt;1250001,0,IF(O48&gt;1500000,62500,((O48-1250000)*0.25))),0)</f>
        <v>0</v>
      </c>
      <c r="AE55" s="85">
        <f>IF('Master Data'!D18="Under 60",AB55,IF('Master Data'!D18="Above 60",AC55,AD55))</f>
        <v>0</v>
      </c>
    </row>
    <row r="56" spans="1:31" s="50" customFormat="1" ht="16.5" customHeight="1">
      <c r="A56" s="386"/>
      <c r="B56" s="447" t="str">
        <f>IF(T14=T2," ","12,50,001 to  15,00,000")</f>
        <v xml:space="preserve"> </v>
      </c>
      <c r="C56" s="448"/>
      <c r="D56" s="448"/>
      <c r="E56" s="147" t="str">
        <f>IF(T14=T2," ","25%")</f>
        <v xml:space="preserve"> </v>
      </c>
      <c r="F56" s="446" t="str">
        <f>IF(T14=T2," ","12,50,001 to  15,00,000")</f>
        <v xml:space="preserve"> </v>
      </c>
      <c r="G56" s="446"/>
      <c r="H56" s="446"/>
      <c r="I56" s="147" t="str">
        <f>IF(T14=T2," ","25%")</f>
        <v xml:space="preserve"> </v>
      </c>
      <c r="J56" s="446" t="str">
        <f>IF(T14=T2," ","12,50,001 to  15,00,000")</f>
        <v xml:space="preserve"> </v>
      </c>
      <c r="K56" s="446"/>
      <c r="L56" s="446"/>
      <c r="M56" s="147" t="str">
        <f>IF(T14=T2," ","25%")</f>
        <v xml:space="preserve"> </v>
      </c>
      <c r="N56" s="139" t="str">
        <f>IF(T14=T2," ","#-")</f>
        <v xml:space="preserve"> </v>
      </c>
      <c r="O56" s="148">
        <f t="shared" si="0"/>
        <v>0</v>
      </c>
      <c r="P56" s="149"/>
      <c r="Q56" s="149"/>
      <c r="R56" s="480"/>
      <c r="S56" s="481"/>
      <c r="T56" s="481"/>
      <c r="U56" s="481"/>
      <c r="V56" s="482"/>
      <c r="AA56" s="84">
        <f>IF('Master Data'!D18="Under 60",X56,IF('Master Data'!D18="Above 60",Y56,Z56))</f>
        <v>0</v>
      </c>
      <c r="AB56" s="50">
        <f>ROUND(IF(O48&lt;1500001,0,(O48-1500000)*0.3),0)</f>
        <v>0</v>
      </c>
      <c r="AC56" s="50">
        <f>ROUND(IF(O48&lt;1500001,0,(O48-1500000)*0.3),0)</f>
        <v>0</v>
      </c>
      <c r="AD56" s="50">
        <f>ROUND(IF(O48&lt;1500001,0,(O48-1500000)*0.3),0)</f>
        <v>0</v>
      </c>
      <c r="AE56" s="85">
        <f>IF('Master Data'!D18="Under 60",AB56,IF('Master Data'!D18="Above 60",AC56,AD56))</f>
        <v>0</v>
      </c>
    </row>
    <row r="57" spans="1:31" s="50" customFormat="1" ht="16.5" thickBot="1">
      <c r="A57" s="386"/>
      <c r="B57" s="447" t="str">
        <f>IF(T14=T2," ","Above Rs. 15,00,000")</f>
        <v xml:space="preserve"> </v>
      </c>
      <c r="C57" s="448"/>
      <c r="D57" s="448"/>
      <c r="E57" s="147" t="str">
        <f>IF(T14=T2," ","30%")</f>
        <v xml:space="preserve"> </v>
      </c>
      <c r="F57" s="446" t="str">
        <f>IF(T14=T2," ","Above Rs. 15,00,000")</f>
        <v xml:space="preserve"> </v>
      </c>
      <c r="G57" s="446"/>
      <c r="H57" s="446"/>
      <c r="I57" s="147" t="str">
        <f>IF(T14=T2," ","30%")</f>
        <v xml:space="preserve"> </v>
      </c>
      <c r="J57" s="446" t="str">
        <f>IF(T14=T2," ","Above Rs. 15,00,000")</f>
        <v xml:space="preserve"> </v>
      </c>
      <c r="K57" s="446"/>
      <c r="L57" s="446"/>
      <c r="M57" s="147" t="str">
        <f>IF(T14=T2," ","30%")</f>
        <v xml:space="preserve"> </v>
      </c>
      <c r="N57" s="139" t="str">
        <f>IF(T14=T2," ","#-")</f>
        <v xml:space="preserve"> </v>
      </c>
      <c r="O57" s="148">
        <f>IF($T$14=$T$2,AA56,AE56)</f>
        <v>0</v>
      </c>
      <c r="P57" s="149"/>
      <c r="Q57" s="149"/>
      <c r="R57" s="483"/>
      <c r="S57" s="484"/>
      <c r="T57" s="484"/>
      <c r="U57" s="484"/>
      <c r="V57" s="485"/>
      <c r="X57" s="50">
        <f>SUM(X50:X53)</f>
        <v>4638</v>
      </c>
      <c r="Y57" s="50">
        <f t="shared" ref="Y57:Z57" si="1">SUM(Y50:Y53)</f>
        <v>2138</v>
      </c>
      <c r="Z57" s="50">
        <f t="shared" si="1"/>
        <v>0</v>
      </c>
      <c r="AA57" s="84">
        <f>IF('Master Data'!D18="Under 60",X57,IF('Master Data'!D18="Above 60",Y57,Z57))</f>
        <v>4638</v>
      </c>
      <c r="AB57" s="50">
        <f>SUM(AB50:AB56)</f>
        <v>4638</v>
      </c>
      <c r="AC57" s="50">
        <f t="shared" ref="AC57:AD57" si="2">SUM(AC50:AC56)</f>
        <v>4638</v>
      </c>
      <c r="AD57" s="50">
        <f t="shared" si="2"/>
        <v>4638</v>
      </c>
      <c r="AE57" s="85">
        <f>IF('Master Data'!D18="Under 60",AB57,IF('Master Data'!D18="Above 60",AC57,AD57))</f>
        <v>4638</v>
      </c>
    </row>
    <row r="58" spans="1:31" s="50" customFormat="1" ht="16.5" thickTop="1">
      <c r="A58" s="386"/>
      <c r="B58" s="486" t="s">
        <v>143</v>
      </c>
      <c r="C58" s="486"/>
      <c r="D58" s="486"/>
      <c r="E58" s="486"/>
      <c r="F58" s="486"/>
      <c r="G58" s="486"/>
      <c r="H58" s="486"/>
      <c r="I58" s="486"/>
      <c r="J58" s="486"/>
      <c r="K58" s="486"/>
      <c r="L58" s="486"/>
      <c r="M58" s="486"/>
      <c r="N58" s="139" t="s">
        <v>63</v>
      </c>
      <c r="O58" s="122">
        <f>SUM(O51:O57)</f>
        <v>4638</v>
      </c>
      <c r="P58" s="123"/>
      <c r="Q58" s="123"/>
    </row>
    <row r="59" spans="1:31" s="50" customFormat="1" ht="15.75">
      <c r="A59" s="386"/>
      <c r="B59" s="438" t="s">
        <v>371</v>
      </c>
      <c r="C59" s="438"/>
      <c r="D59" s="438"/>
      <c r="E59" s="438"/>
      <c r="F59" s="438"/>
      <c r="G59" s="438"/>
      <c r="H59" s="438"/>
      <c r="I59" s="438"/>
      <c r="J59" s="438"/>
      <c r="K59" s="438"/>
      <c r="L59" s="438"/>
      <c r="M59" s="438"/>
      <c r="N59" s="139" t="s">
        <v>63</v>
      </c>
      <c r="O59" s="122">
        <f>IF(O48&gt;500000,0,IF(O58&lt;12500,O58,12500))</f>
        <v>4638</v>
      </c>
      <c r="P59" s="125"/>
      <c r="Q59" s="476"/>
      <c r="R59" s="476"/>
      <c r="S59" s="476"/>
      <c r="X59" s="50">
        <f>ROUND(IF(O48&lt;=250000,0,IF(O48&lt;=500000,(O48-250000)*0.05,IF(O48&lt;=1000000,12500+(O48-500000)*0.2,IF(O48&gt;1000000,112500+(O48-1000000)*0.3,"0")))),0)</f>
        <v>4638</v>
      </c>
      <c r="Y59" s="50">
        <f>ROUND(IF(O48&lt;=300000,0,IF(O48&lt;=500000,(O48-300000)*0.05,IF(O48&lt;=1000000,10000+(O48-500000)*0.2,IF(O48&gt;1000000,110000+(O48-1000000)*0.3,"0")))),0)</f>
        <v>2138</v>
      </c>
      <c r="Z59" s="50">
        <f>ROUND(IF(O48&lt;=250000,0,IF(O48&lt;=500000,(O48-250000)*0.05,IF(O48&lt;=1000000,0+(O48-500000)*0.2,IF(O48&gt;1000000,100000+(O48-1000000)*0.3,"0")))),0)</f>
        <v>4638</v>
      </c>
    </row>
    <row r="60" spans="1:31" s="50" customFormat="1" ht="15.75">
      <c r="A60" s="386"/>
      <c r="B60" s="486" t="s">
        <v>144</v>
      </c>
      <c r="C60" s="486"/>
      <c r="D60" s="486"/>
      <c r="E60" s="486"/>
      <c r="F60" s="486"/>
      <c r="G60" s="486"/>
      <c r="H60" s="486"/>
      <c r="I60" s="486"/>
      <c r="J60" s="486"/>
      <c r="K60" s="486"/>
      <c r="L60" s="486"/>
      <c r="M60" s="486"/>
      <c r="N60" s="139" t="s">
        <v>63</v>
      </c>
      <c r="O60" s="122">
        <f>O58-O59</f>
        <v>0</v>
      </c>
      <c r="P60" s="123"/>
      <c r="Q60" s="476"/>
      <c r="R60" s="476"/>
      <c r="S60" s="476"/>
      <c r="Y60" s="50">
        <f>IF(T63&gt;350000,0,IF(T63&lt;2501,T63,2500))</f>
        <v>0</v>
      </c>
    </row>
    <row r="61" spans="1:31" ht="15.75">
      <c r="A61" s="386"/>
      <c r="B61" s="81" t="s">
        <v>145</v>
      </c>
      <c r="C61" s="438" t="s">
        <v>146</v>
      </c>
      <c r="D61" s="438"/>
      <c r="E61" s="438"/>
      <c r="F61" s="438"/>
      <c r="G61" s="438"/>
      <c r="H61" s="438"/>
      <c r="I61" s="438"/>
      <c r="J61" s="438"/>
      <c r="K61" s="438"/>
      <c r="L61" s="438"/>
      <c r="M61" s="438"/>
      <c r="N61" s="139" t="s">
        <v>63</v>
      </c>
      <c r="O61" s="122">
        <f>ROUND((O60*0.04),0)</f>
        <v>0</v>
      </c>
      <c r="P61" s="125"/>
      <c r="Q61" s="125"/>
    </row>
    <row r="62" spans="1:31" ht="15.75">
      <c r="A62" s="386"/>
      <c r="B62" s="439" t="s">
        <v>147</v>
      </c>
      <c r="C62" s="439"/>
      <c r="D62" s="439"/>
      <c r="E62" s="439"/>
      <c r="F62" s="439"/>
      <c r="G62" s="439"/>
      <c r="H62" s="439"/>
      <c r="I62" s="439"/>
      <c r="J62" s="439"/>
      <c r="K62" s="439"/>
      <c r="L62" s="439"/>
      <c r="M62" s="439"/>
      <c r="N62" s="139" t="s">
        <v>63</v>
      </c>
      <c r="O62" s="122">
        <f>SUM(O60:O61)</f>
        <v>0</v>
      </c>
      <c r="P62" s="123"/>
      <c r="Q62" s="123"/>
    </row>
    <row r="63" spans="1:31" ht="16.5">
      <c r="A63" s="124">
        <v>17</v>
      </c>
      <c r="B63" s="440" t="s">
        <v>148</v>
      </c>
      <c r="C63" s="440"/>
      <c r="D63" s="440"/>
      <c r="E63" s="440"/>
      <c r="F63" s="440"/>
      <c r="G63" s="440"/>
      <c r="H63" s="440"/>
      <c r="I63" s="440"/>
      <c r="J63" s="440"/>
      <c r="K63" s="440"/>
      <c r="L63" s="440"/>
      <c r="M63" s="440"/>
      <c r="N63" s="139" t="s">
        <v>63</v>
      </c>
      <c r="O63" s="122">
        <f>'Extra Ded. '!I24</f>
        <v>0</v>
      </c>
      <c r="P63" s="125"/>
      <c r="Q63" s="125"/>
    </row>
    <row r="64" spans="1:31" ht="15.75">
      <c r="A64" s="124">
        <v>18</v>
      </c>
      <c r="B64" s="441" t="s">
        <v>149</v>
      </c>
      <c r="C64" s="441"/>
      <c r="D64" s="441"/>
      <c r="E64" s="441"/>
      <c r="F64" s="441"/>
      <c r="G64" s="441"/>
      <c r="H64" s="441"/>
      <c r="I64" s="441"/>
      <c r="J64" s="441"/>
      <c r="K64" s="441"/>
      <c r="L64" s="441"/>
      <c r="M64" s="441"/>
      <c r="N64" s="139" t="s">
        <v>63</v>
      </c>
      <c r="O64" s="122">
        <f>O62-O63</f>
        <v>0</v>
      </c>
      <c r="P64" s="123"/>
      <c r="Q64" s="123"/>
    </row>
    <row r="65" spans="1:26" ht="29.25" customHeight="1">
      <c r="A65" s="386">
        <v>19</v>
      </c>
      <c r="B65" s="490" t="s">
        <v>150</v>
      </c>
      <c r="C65" s="491"/>
      <c r="D65" s="471" t="s">
        <v>206</v>
      </c>
      <c r="E65" s="471"/>
      <c r="F65" s="471" t="s">
        <v>205</v>
      </c>
      <c r="G65" s="471"/>
      <c r="H65" s="471" t="s">
        <v>204</v>
      </c>
      <c r="I65" s="471"/>
      <c r="J65" s="244" t="s">
        <v>203</v>
      </c>
      <c r="K65" s="472" t="s">
        <v>202</v>
      </c>
      <c r="L65" s="472"/>
      <c r="M65" s="473"/>
      <c r="N65" s="473"/>
      <c r="O65" s="151" t="s">
        <v>151</v>
      </c>
      <c r="P65" s="152"/>
      <c r="Q65" s="152"/>
    </row>
    <row r="66" spans="1:26" ht="15.75">
      <c r="A66" s="386"/>
      <c r="B66" s="492"/>
      <c r="C66" s="493"/>
      <c r="D66" s="474">
        <f>SUM('GA55 '!T6:T12)</f>
        <v>1456</v>
      </c>
      <c r="E66" s="474"/>
      <c r="F66" s="494">
        <f>SUM('GA55 '!T13:T15)</f>
        <v>624</v>
      </c>
      <c r="G66" s="495"/>
      <c r="H66" s="474">
        <f>'GA55 '!T16</f>
        <v>208</v>
      </c>
      <c r="I66" s="474"/>
      <c r="J66" s="153">
        <f>'GA55 '!T17</f>
        <v>208</v>
      </c>
      <c r="K66" s="474">
        <f>SUM('GA55 '!T27-(D66+F66+H66+J66))+'Extra Ded. '!I9</f>
        <v>0</v>
      </c>
      <c r="L66" s="474"/>
      <c r="M66" s="475"/>
      <c r="N66" s="475"/>
      <c r="O66" s="154">
        <f>SUM(D66+F66+H66+J66+K66+M66)</f>
        <v>2496</v>
      </c>
      <c r="P66" s="155"/>
      <c r="Q66" s="155"/>
    </row>
    <row r="67" spans="1:26" ht="19.5" thickBot="1">
      <c r="A67" s="442" t="str">
        <f>IF(O64&gt;O66,"Income Tax Payable",IF(O64&lt;O66,"Income Tax Refundable","Income Tax Payble/Refundable"))</f>
        <v>Income Tax Refundable</v>
      </c>
      <c r="B67" s="443"/>
      <c r="C67" s="443"/>
      <c r="D67" s="443"/>
      <c r="E67" s="443"/>
      <c r="F67" s="443"/>
      <c r="G67" s="443"/>
      <c r="H67" s="443"/>
      <c r="I67" s="443"/>
      <c r="J67" s="443"/>
      <c r="K67" s="443"/>
      <c r="L67" s="443"/>
      <c r="M67" s="443"/>
      <c r="N67" s="156" t="s">
        <v>63</v>
      </c>
      <c r="O67" s="157">
        <f>IF(O64&gt;O66,O64-O66,O66-O64)</f>
        <v>2496</v>
      </c>
      <c r="P67" s="125"/>
      <c r="Q67" s="125"/>
    </row>
    <row r="68" spans="1:26" ht="16.5" thickTop="1">
      <c r="A68" s="158"/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9"/>
      <c r="O68" s="125"/>
      <c r="P68" s="125"/>
      <c r="Q68" s="125"/>
    </row>
    <row r="69" spans="1:26" ht="16.5">
      <c r="A69" s="51"/>
      <c r="B69" s="52"/>
      <c r="C69" s="52"/>
      <c r="D69" s="53"/>
      <c r="E69" s="52"/>
      <c r="F69" s="52"/>
      <c r="G69" s="52"/>
      <c r="H69" s="52"/>
      <c r="I69" s="52"/>
      <c r="J69" s="52"/>
      <c r="K69" s="52"/>
      <c r="L69" s="437" t="s">
        <v>152</v>
      </c>
      <c r="M69" s="437"/>
      <c r="N69" s="437"/>
      <c r="O69" s="54"/>
      <c r="P69" s="54"/>
      <c r="Q69" s="54"/>
    </row>
    <row r="70" spans="1:26" ht="16.5">
      <c r="A70" s="51"/>
      <c r="B70" s="52"/>
      <c r="C70" s="52"/>
      <c r="D70" s="53"/>
      <c r="E70" s="52"/>
      <c r="F70" s="52"/>
      <c r="G70" s="52"/>
      <c r="H70" s="52"/>
      <c r="I70" s="52"/>
      <c r="J70" s="52"/>
      <c r="K70" s="52"/>
      <c r="L70" s="55"/>
      <c r="M70" s="56"/>
      <c r="N70" s="57"/>
      <c r="O70" s="54"/>
      <c r="P70" s="54"/>
      <c r="Q70" s="54"/>
    </row>
    <row r="71" spans="1:26" ht="15.75">
      <c r="A71" s="58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60"/>
      <c r="P71" s="60"/>
      <c r="Q71" s="60"/>
      <c r="R71" s="50"/>
      <c r="S71" s="50"/>
      <c r="T71" s="50"/>
      <c r="U71" s="50"/>
      <c r="V71" s="50"/>
      <c r="W71" s="50"/>
      <c r="X71" s="50"/>
      <c r="Y71" s="50"/>
      <c r="Z71" s="50"/>
    </row>
    <row r="72" spans="1:26" ht="15.75">
      <c r="A72" s="61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60"/>
      <c r="P72" s="60"/>
      <c r="Q72" s="60"/>
      <c r="R72" s="50"/>
      <c r="S72" s="50"/>
      <c r="T72" s="50"/>
      <c r="U72" s="50"/>
      <c r="V72" s="50"/>
      <c r="W72" s="50"/>
      <c r="X72" s="50"/>
      <c r="Y72" s="50"/>
      <c r="Z72" s="50"/>
    </row>
    <row r="73" spans="1:26" ht="15.75">
      <c r="A73" s="58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60"/>
      <c r="P73" s="60"/>
      <c r="Q73" s="60"/>
      <c r="R73" s="50"/>
      <c r="S73" s="50"/>
      <c r="T73" s="50"/>
      <c r="U73" s="50"/>
      <c r="V73" s="50"/>
      <c r="W73" s="50"/>
      <c r="X73" s="50"/>
      <c r="Y73" s="50"/>
      <c r="Z73" s="50"/>
    </row>
    <row r="74" spans="1:26" ht="15.75">
      <c r="A74" s="58"/>
      <c r="B74" s="62"/>
      <c r="C74" s="62"/>
      <c r="D74" s="62"/>
      <c r="E74" s="62"/>
      <c r="F74" s="62"/>
      <c r="G74" s="62"/>
      <c r="H74" s="62"/>
      <c r="I74" s="63"/>
      <c r="J74" s="63"/>
      <c r="K74" s="63"/>
      <c r="L74" s="63"/>
      <c r="M74" s="63"/>
      <c r="N74" s="63"/>
      <c r="O74" s="60"/>
      <c r="P74" s="60"/>
      <c r="Q74" s="60"/>
      <c r="R74" s="50"/>
      <c r="S74" s="50"/>
      <c r="T74" s="50"/>
      <c r="U74" s="50"/>
      <c r="V74" s="50"/>
      <c r="W74" s="50"/>
      <c r="X74" s="50"/>
      <c r="Y74" s="50"/>
      <c r="Z74" s="50"/>
    </row>
    <row r="75" spans="1:26" ht="15.75">
      <c r="A75" s="58"/>
      <c r="B75" s="62"/>
      <c r="C75" s="62"/>
      <c r="D75" s="62"/>
      <c r="E75" s="62"/>
      <c r="F75" s="62"/>
      <c r="G75" s="62"/>
      <c r="H75" s="62"/>
      <c r="I75" s="63"/>
      <c r="J75" s="63"/>
      <c r="K75" s="63"/>
      <c r="L75" s="63"/>
      <c r="M75" s="63"/>
      <c r="N75" s="63"/>
      <c r="O75" s="60"/>
      <c r="P75" s="60"/>
      <c r="Q75" s="60"/>
      <c r="R75" s="50"/>
      <c r="S75" s="50"/>
      <c r="T75" s="50"/>
      <c r="U75" s="50"/>
      <c r="V75" s="50"/>
      <c r="W75" s="50"/>
      <c r="X75" s="50"/>
      <c r="Y75" s="50"/>
      <c r="Z75" s="50"/>
    </row>
    <row r="76" spans="1:26" ht="15.75">
      <c r="A76" s="58"/>
      <c r="B76" s="62"/>
      <c r="C76" s="62"/>
      <c r="D76" s="62"/>
      <c r="E76" s="62"/>
      <c r="F76" s="62"/>
      <c r="G76" s="62"/>
      <c r="H76" s="62"/>
      <c r="I76" s="63"/>
      <c r="J76" s="63"/>
      <c r="K76" s="63"/>
      <c r="L76" s="63"/>
      <c r="M76" s="63"/>
      <c r="N76" s="63"/>
      <c r="O76" s="60"/>
      <c r="P76" s="60"/>
      <c r="Q76" s="60"/>
      <c r="R76" s="50"/>
      <c r="S76" s="50"/>
      <c r="T76" s="50"/>
      <c r="U76" s="50"/>
      <c r="V76" s="50"/>
      <c r="W76" s="50"/>
      <c r="X76" s="50"/>
      <c r="Y76" s="50"/>
      <c r="Z76" s="50"/>
    </row>
    <row r="77" spans="1:26" ht="15.75">
      <c r="A77" s="58"/>
      <c r="B77" s="62"/>
      <c r="C77" s="62"/>
      <c r="D77" s="62"/>
      <c r="E77" s="62"/>
      <c r="F77" s="62"/>
      <c r="G77" s="62"/>
      <c r="H77" s="62"/>
      <c r="I77" s="63"/>
      <c r="J77" s="63"/>
      <c r="K77" s="63"/>
      <c r="L77" s="63"/>
      <c r="M77" s="63"/>
      <c r="N77" s="63"/>
      <c r="O77" s="60"/>
      <c r="P77" s="60"/>
      <c r="Q77" s="60"/>
      <c r="R77" s="50"/>
      <c r="S77" s="50"/>
      <c r="T77" s="50"/>
      <c r="U77" s="50"/>
      <c r="V77" s="50"/>
      <c r="W77" s="50"/>
      <c r="X77" s="50"/>
      <c r="Y77" s="50"/>
      <c r="Z77" s="50"/>
    </row>
    <row r="78" spans="1:26" ht="15.75">
      <c r="A78" s="58"/>
      <c r="B78" s="62"/>
      <c r="C78" s="62"/>
      <c r="D78" s="62"/>
      <c r="E78" s="62"/>
      <c r="F78" s="62"/>
      <c r="G78" s="62"/>
      <c r="H78" s="62"/>
      <c r="I78" s="63"/>
      <c r="J78" s="63"/>
      <c r="K78" s="63"/>
      <c r="L78" s="63"/>
      <c r="M78" s="63"/>
      <c r="N78" s="63"/>
      <c r="O78" s="60"/>
      <c r="P78" s="60"/>
      <c r="Q78" s="60"/>
      <c r="R78" s="50"/>
      <c r="S78" s="50"/>
      <c r="T78" s="50"/>
      <c r="U78" s="50"/>
      <c r="V78" s="50"/>
      <c r="W78" s="50"/>
      <c r="X78" s="50"/>
      <c r="Y78" s="50"/>
      <c r="Z78" s="50"/>
    </row>
    <row r="79" spans="1:26" ht="15.75">
      <c r="A79" s="61"/>
      <c r="B79" s="64"/>
      <c r="C79" s="65"/>
      <c r="D79" s="65"/>
      <c r="E79" s="65"/>
      <c r="F79" s="65"/>
      <c r="G79" s="65"/>
      <c r="H79" s="64"/>
      <c r="I79" s="63"/>
      <c r="J79" s="63"/>
      <c r="K79" s="63"/>
      <c r="L79" s="63"/>
      <c r="M79" s="63"/>
      <c r="N79" s="63"/>
      <c r="O79" s="60"/>
      <c r="P79" s="60"/>
      <c r="Q79" s="60"/>
      <c r="R79" s="50"/>
      <c r="S79" s="50"/>
      <c r="T79" s="50"/>
      <c r="U79" s="50"/>
      <c r="V79" s="50"/>
      <c r="W79" s="50"/>
      <c r="X79" s="50"/>
      <c r="Y79" s="50"/>
      <c r="Z79" s="50"/>
    </row>
    <row r="80" spans="1:26" s="70" customFormat="1" ht="15.75">
      <c r="A80" s="66"/>
      <c r="B80" s="67"/>
      <c r="C80" s="67"/>
      <c r="D80" s="67"/>
      <c r="E80" s="67"/>
      <c r="F80" s="67"/>
      <c r="G80" s="67"/>
      <c r="H80" s="67"/>
      <c r="I80" s="63"/>
      <c r="J80" s="63"/>
      <c r="K80" s="63"/>
      <c r="L80" s="63"/>
      <c r="M80" s="63"/>
      <c r="N80" s="63"/>
      <c r="O80" s="68"/>
      <c r="P80" s="68"/>
      <c r="Q80" s="68"/>
      <c r="R80" s="69"/>
      <c r="S80" s="69"/>
      <c r="T80" s="69"/>
      <c r="U80" s="69"/>
      <c r="V80" s="69"/>
      <c r="W80" s="69"/>
      <c r="X80" s="69"/>
      <c r="Y80" s="69"/>
      <c r="Z80" s="69"/>
    </row>
    <row r="81" spans="1:26" s="70" customFormat="1" ht="15.75">
      <c r="A81" s="66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71"/>
      <c r="N81" s="72"/>
      <c r="O81" s="68"/>
      <c r="P81" s="68"/>
      <c r="Q81" s="68"/>
      <c r="R81" s="69"/>
      <c r="S81" s="69"/>
      <c r="T81" s="69"/>
      <c r="U81" s="69"/>
      <c r="V81" s="69"/>
      <c r="W81" s="69"/>
      <c r="X81" s="69"/>
      <c r="Y81" s="69"/>
      <c r="Z81" s="69"/>
    </row>
    <row r="82" spans="1:26" s="70" customFormat="1" ht="15.75">
      <c r="A82" s="66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71"/>
      <c r="N82" s="72"/>
      <c r="O82" s="68"/>
      <c r="P82" s="68"/>
      <c r="Q82" s="68"/>
      <c r="R82" s="69"/>
      <c r="S82" s="69"/>
      <c r="T82" s="69"/>
      <c r="U82" s="69"/>
      <c r="V82" s="69"/>
      <c r="W82" s="69"/>
      <c r="X82" s="69"/>
      <c r="Y82" s="69"/>
      <c r="Z82" s="69"/>
    </row>
    <row r="83" spans="1:26" s="70" customFormat="1" ht="15.75">
      <c r="A83" s="66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71"/>
      <c r="N83" s="72"/>
      <c r="O83" s="68"/>
      <c r="P83" s="68"/>
      <c r="Q83" s="68"/>
      <c r="R83" s="69"/>
      <c r="S83" s="69"/>
      <c r="T83" s="69"/>
      <c r="U83" s="69"/>
      <c r="V83" s="69"/>
      <c r="W83" s="69"/>
      <c r="X83" s="69"/>
      <c r="Y83" s="69"/>
      <c r="Z83" s="69"/>
    </row>
    <row r="84" spans="1:26" s="70" customFormat="1" ht="15.75">
      <c r="A84" s="66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73"/>
      <c r="M84" s="71"/>
      <c r="N84" s="74"/>
      <c r="O84" s="68"/>
      <c r="P84" s="68"/>
      <c r="Q84" s="68"/>
      <c r="R84" s="69"/>
      <c r="S84" s="69"/>
      <c r="T84" s="69"/>
      <c r="U84" s="69"/>
      <c r="V84" s="69"/>
      <c r="W84" s="69"/>
      <c r="X84" s="69"/>
      <c r="Y84" s="69"/>
      <c r="Z84" s="69"/>
    </row>
    <row r="85" spans="1:26" ht="15.75">
      <c r="A85" s="75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7"/>
      <c r="N85" s="78"/>
      <c r="O85" s="54"/>
      <c r="P85" s="54"/>
      <c r="Q85" s="54"/>
      <c r="R85" s="50"/>
      <c r="S85" s="50"/>
      <c r="T85" s="50"/>
      <c r="U85" s="50"/>
      <c r="V85" s="50"/>
      <c r="W85" s="50"/>
      <c r="X85" s="50"/>
      <c r="Y85" s="50"/>
      <c r="Z85" s="50"/>
    </row>
    <row r="86" spans="1:26">
      <c r="A86" s="79"/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50"/>
      <c r="S86" s="50"/>
      <c r="T86" s="50"/>
      <c r="U86" s="50"/>
      <c r="V86" s="50"/>
      <c r="W86" s="50"/>
      <c r="X86" s="50"/>
      <c r="Y86" s="50"/>
      <c r="Z86" s="50"/>
    </row>
    <row r="87" spans="1:26">
      <c r="A87" s="79"/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50"/>
      <c r="S87" s="50"/>
      <c r="T87" s="50"/>
      <c r="U87" s="50"/>
      <c r="V87" s="50"/>
      <c r="W87" s="50"/>
      <c r="X87" s="50"/>
      <c r="Y87" s="50"/>
      <c r="Z87" s="50"/>
    </row>
    <row r="88" spans="1:26">
      <c r="A88" s="79"/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50"/>
      <c r="S88" s="50"/>
      <c r="T88" s="50"/>
      <c r="U88" s="50"/>
      <c r="V88" s="50"/>
      <c r="W88" s="50"/>
      <c r="X88" s="50"/>
      <c r="Y88" s="50"/>
      <c r="Z88" s="50"/>
    </row>
    <row r="89" spans="1:26"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</row>
  </sheetData>
  <sheetProtection password="C407" sheet="1" objects="1" scenarios="1" formatCells="0" formatColumns="0" formatRows="0"/>
  <mergeCells count="151">
    <mergeCell ref="D66:E66"/>
    <mergeCell ref="F65:G65"/>
    <mergeCell ref="F66:G66"/>
    <mergeCell ref="A36:A45"/>
    <mergeCell ref="F54:H54"/>
    <mergeCell ref="J54:L54"/>
    <mergeCell ref="B58:M58"/>
    <mergeCell ref="H31:K31"/>
    <mergeCell ref="C31:E31"/>
    <mergeCell ref="X49:Z49"/>
    <mergeCell ref="AB49:AD49"/>
    <mergeCell ref="A65:A66"/>
    <mergeCell ref="H65:I65"/>
    <mergeCell ref="K65:L65"/>
    <mergeCell ref="M65:N65"/>
    <mergeCell ref="H66:I66"/>
    <mergeCell ref="K66:L66"/>
    <mergeCell ref="M66:N66"/>
    <mergeCell ref="Q59:S60"/>
    <mergeCell ref="R55:V57"/>
    <mergeCell ref="F57:H57"/>
    <mergeCell ref="J57:L57"/>
    <mergeCell ref="B59:M59"/>
    <mergeCell ref="B60:M60"/>
    <mergeCell ref="B54:D54"/>
    <mergeCell ref="B38:M38"/>
    <mergeCell ref="B39:M39"/>
    <mergeCell ref="B34:M34"/>
    <mergeCell ref="B35:M35"/>
    <mergeCell ref="B65:C66"/>
    <mergeCell ref="D65:E65"/>
    <mergeCell ref="R19:S19"/>
    <mergeCell ref="S32:S34"/>
    <mergeCell ref="R41:V43"/>
    <mergeCell ref="R44:S45"/>
    <mergeCell ref="B46:M46"/>
    <mergeCell ref="B47:M47"/>
    <mergeCell ref="B53:D53"/>
    <mergeCell ref="F53:H53"/>
    <mergeCell ref="J53:L53"/>
    <mergeCell ref="B40:M40"/>
    <mergeCell ref="B41:M41"/>
    <mergeCell ref="C24:E24"/>
    <mergeCell ref="C25:E25"/>
    <mergeCell ref="I25:K25"/>
    <mergeCell ref="C26:E26"/>
    <mergeCell ref="I26:K26"/>
    <mergeCell ref="B45:M45"/>
    <mergeCell ref="B42:M42"/>
    <mergeCell ref="B43:M43"/>
    <mergeCell ref="B44:M44"/>
    <mergeCell ref="B48:M48"/>
    <mergeCell ref="B36:O36"/>
    <mergeCell ref="B33:M33"/>
    <mergeCell ref="B37:M37"/>
    <mergeCell ref="L69:N69"/>
    <mergeCell ref="C61:M61"/>
    <mergeCell ref="B62:M62"/>
    <mergeCell ref="B63:M63"/>
    <mergeCell ref="B64:M64"/>
    <mergeCell ref="A67:M67"/>
    <mergeCell ref="A49:A62"/>
    <mergeCell ref="B49:O49"/>
    <mergeCell ref="B50:E50"/>
    <mergeCell ref="F50:I50"/>
    <mergeCell ref="J50:M50"/>
    <mergeCell ref="B51:D51"/>
    <mergeCell ref="B55:D55"/>
    <mergeCell ref="F55:H55"/>
    <mergeCell ref="J55:L55"/>
    <mergeCell ref="B56:D56"/>
    <mergeCell ref="F56:H56"/>
    <mergeCell ref="J56:L56"/>
    <mergeCell ref="B57:D57"/>
    <mergeCell ref="B52:D52"/>
    <mergeCell ref="F52:H52"/>
    <mergeCell ref="J52:L52"/>
    <mergeCell ref="J51:L51"/>
    <mergeCell ref="F51:H51"/>
    <mergeCell ref="I29:K29"/>
    <mergeCell ref="E17:F17"/>
    <mergeCell ref="G16:H16"/>
    <mergeCell ref="G17:H17"/>
    <mergeCell ref="J17:M17"/>
    <mergeCell ref="B18:M18"/>
    <mergeCell ref="A19:A35"/>
    <mergeCell ref="B19:O19"/>
    <mergeCell ref="B20:O20"/>
    <mergeCell ref="C21:E21"/>
    <mergeCell ref="I21:K21"/>
    <mergeCell ref="N21:O31"/>
    <mergeCell ref="C22:E22"/>
    <mergeCell ref="I22:K22"/>
    <mergeCell ref="C23:E23"/>
    <mergeCell ref="C30:E30"/>
    <mergeCell ref="I30:K30"/>
    <mergeCell ref="B32:M32"/>
    <mergeCell ref="C27:E27"/>
    <mergeCell ref="I27:K27"/>
    <mergeCell ref="C28:E28"/>
    <mergeCell ref="I28:K28"/>
    <mergeCell ref="C29:E29"/>
    <mergeCell ref="I23:K23"/>
    <mergeCell ref="A8:A10"/>
    <mergeCell ref="B8:J8"/>
    <mergeCell ref="K8:M8"/>
    <mergeCell ref="N8:O9"/>
    <mergeCell ref="B9:J9"/>
    <mergeCell ref="K9:M9"/>
    <mergeCell ref="B5:M5"/>
    <mergeCell ref="A4:A5"/>
    <mergeCell ref="I24:K24"/>
    <mergeCell ref="B15:M15"/>
    <mergeCell ref="B16:D16"/>
    <mergeCell ref="J16:M16"/>
    <mergeCell ref="B17:D17"/>
    <mergeCell ref="N12:O14"/>
    <mergeCell ref="B13:C14"/>
    <mergeCell ref="D13:E13"/>
    <mergeCell ref="F13:H13"/>
    <mergeCell ref="I13:J13"/>
    <mergeCell ref="K13:M13"/>
    <mergeCell ref="D14:E14"/>
    <mergeCell ref="F14:H14"/>
    <mergeCell ref="I14:J14"/>
    <mergeCell ref="K14:M14"/>
    <mergeCell ref="E16:F16"/>
    <mergeCell ref="Q22:U24"/>
    <mergeCell ref="AH23:AK24"/>
    <mergeCell ref="Q26:S31"/>
    <mergeCell ref="A1:O1"/>
    <mergeCell ref="B3:C3"/>
    <mergeCell ref="D3:H3"/>
    <mergeCell ref="J3:L3"/>
    <mergeCell ref="N3:O3"/>
    <mergeCell ref="C2:E2"/>
    <mergeCell ref="F2:G2"/>
    <mergeCell ref="H2:I2"/>
    <mergeCell ref="L2:O2"/>
    <mergeCell ref="J2:K2"/>
    <mergeCell ref="B10:J10"/>
    <mergeCell ref="K10:M10"/>
    <mergeCell ref="B11:M11"/>
    <mergeCell ref="A12:A14"/>
    <mergeCell ref="B12:H12"/>
    <mergeCell ref="I12:J12"/>
    <mergeCell ref="K12:M12"/>
    <mergeCell ref="B4:M4"/>
    <mergeCell ref="R4:V8"/>
    <mergeCell ref="B6:M6"/>
    <mergeCell ref="B7:M7"/>
  </mergeCells>
  <conditionalFormatting sqref="J70">
    <cfRule type="iconSet" priority="4">
      <iconSet iconSet="3TrafficLights2">
        <cfvo type="percent" val="0"/>
        <cfvo type="percent" val="33"/>
        <cfvo type="percent" val="67"/>
      </iconSet>
    </cfRule>
  </conditionalFormatting>
  <conditionalFormatting sqref="N71:R74">
    <cfRule type="iconSet" priority="3">
      <iconSet iconSet="3TrafficLights2">
        <cfvo type="percent" val="0"/>
        <cfvo type="percent" val="33"/>
        <cfvo type="percent" val="67"/>
      </iconSet>
    </cfRule>
  </conditionalFormatting>
  <hyperlinks>
    <hyperlink ref="Q22" r:id="rId1"/>
  </hyperlinks>
  <printOptions horizontalCentered="1" verticalCentered="1"/>
  <pageMargins left="0.55000000000000004" right="0.4" top="0.25" bottom="0.25" header="0.3" footer="0.3"/>
  <pageSetup paperSize="9" scale="72" orientation="portrait" blackAndWhite="1" horizontalDpi="720" r:id="rId2"/>
  <headerFooter>
    <oddFooter>&amp;Lheeralaljatchandawal@gmail.com</oddFooter>
  </headerFooter>
  <drawing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B1:M142"/>
  <sheetViews>
    <sheetView showGridLines="0" showRowColHeaders="0" view="pageBreakPreview" zoomScale="120" zoomScaleSheetLayoutView="120" workbookViewId="0">
      <selection activeCell="O17" sqref="O17"/>
    </sheetView>
  </sheetViews>
  <sheetFormatPr defaultRowHeight="15"/>
  <cols>
    <col min="1" max="1" width="9" style="14"/>
    <col min="2" max="2" width="8.5" style="14" customWidth="1"/>
    <col min="3" max="3" width="8" style="14" customWidth="1"/>
    <col min="4" max="4" width="5.5" style="14" customWidth="1"/>
    <col min="5" max="5" width="11.5" style="14" customWidth="1"/>
    <col min="6" max="6" width="17.375" style="14" customWidth="1"/>
    <col min="7" max="7" width="7" style="14" customWidth="1"/>
    <col min="8" max="8" width="6.625" style="14" customWidth="1"/>
    <col min="9" max="9" width="7.875" style="14" customWidth="1"/>
    <col min="10" max="10" width="6.625" style="14" customWidth="1"/>
    <col min="11" max="11" width="8.375" style="14" customWidth="1"/>
    <col min="12" max="12" width="6.75" style="14" customWidth="1"/>
    <col min="13" max="16384" width="9" style="14"/>
  </cols>
  <sheetData>
    <row r="1" spans="2:12" ht="13.5" customHeight="1">
      <c r="B1" s="504" t="s">
        <v>227</v>
      </c>
      <c r="C1" s="504"/>
      <c r="D1" s="504"/>
      <c r="E1" s="504"/>
      <c r="F1" s="504"/>
      <c r="G1" s="504"/>
      <c r="H1" s="504"/>
      <c r="I1" s="504"/>
      <c r="J1" s="504"/>
      <c r="K1" s="504"/>
      <c r="L1" s="504"/>
    </row>
    <row r="2" spans="2:12" ht="11.25" customHeight="1">
      <c r="B2" s="505" t="s">
        <v>228</v>
      </c>
      <c r="C2" s="505"/>
      <c r="D2" s="505"/>
      <c r="E2" s="505"/>
      <c r="F2" s="505"/>
      <c r="G2" s="505"/>
      <c r="H2" s="505"/>
      <c r="I2" s="505"/>
      <c r="J2" s="505"/>
      <c r="K2" s="505"/>
      <c r="L2" s="505"/>
    </row>
    <row r="3" spans="2:12" ht="11.25" customHeight="1">
      <c r="B3" s="506" t="s">
        <v>229</v>
      </c>
      <c r="C3" s="506"/>
      <c r="D3" s="506"/>
      <c r="E3" s="506"/>
      <c r="F3" s="506"/>
      <c r="G3" s="506"/>
      <c r="H3" s="506"/>
      <c r="I3" s="506"/>
      <c r="J3" s="506"/>
      <c r="K3" s="506"/>
      <c r="L3" s="506"/>
    </row>
    <row r="4" spans="2:12" ht="18" customHeight="1" thickBot="1">
      <c r="B4" s="506" t="s">
        <v>230</v>
      </c>
      <c r="C4" s="506"/>
      <c r="D4" s="506"/>
      <c r="E4" s="506"/>
      <c r="F4" s="506"/>
      <c r="G4" s="506"/>
      <c r="H4" s="506"/>
      <c r="I4" s="506"/>
      <c r="J4" s="506"/>
      <c r="K4" s="506"/>
      <c r="L4" s="506"/>
    </row>
    <row r="5" spans="2:12" ht="16.5" thickTop="1" thickBot="1">
      <c r="B5" s="507" t="s">
        <v>231</v>
      </c>
      <c r="C5" s="507"/>
      <c r="D5" s="507"/>
      <c r="E5" s="507"/>
      <c r="F5" s="507"/>
      <c r="G5" s="507" t="s">
        <v>232</v>
      </c>
      <c r="H5" s="507"/>
      <c r="I5" s="507"/>
      <c r="J5" s="507"/>
      <c r="K5" s="507"/>
      <c r="L5" s="507"/>
    </row>
    <row r="6" spans="2:12" ht="14.25" customHeight="1" thickTop="1" thickBot="1">
      <c r="B6" s="521" t="str">
        <f>IF('Master Data'!H8="","",UPPER('Master Data'!H8))</f>
        <v>B.E.O.PICHHOR</v>
      </c>
      <c r="C6" s="522"/>
      <c r="D6" s="522"/>
      <c r="E6" s="522"/>
      <c r="F6" s="523"/>
      <c r="G6" s="524" t="str">
        <f>IF('Master Data'!D6="","",UPPER('Master Data'!D6))</f>
        <v>HEERALAL JAT</v>
      </c>
      <c r="H6" s="524"/>
      <c r="I6" s="524"/>
      <c r="J6" s="524"/>
      <c r="K6" s="524"/>
      <c r="L6" s="524"/>
    </row>
    <row r="7" spans="2:12" ht="14.25" customHeight="1" thickTop="1" thickBot="1">
      <c r="B7" s="525"/>
      <c r="C7" s="526"/>
      <c r="D7" s="526"/>
      <c r="E7" s="526"/>
      <c r="F7" s="527"/>
      <c r="G7" s="524" t="str">
        <f>IF('Master Data'!D8="","",UPPER('Master Data'!D8))</f>
        <v xml:space="preserve">GHS HARIJAN BASTI PICHHORE </v>
      </c>
      <c r="H7" s="524"/>
      <c r="I7" s="524"/>
      <c r="J7" s="524"/>
      <c r="K7" s="524"/>
      <c r="L7" s="524"/>
    </row>
    <row r="8" spans="2:12" ht="14.25" customHeight="1" thickTop="1" thickBot="1">
      <c r="B8" s="528" t="s">
        <v>233</v>
      </c>
      <c r="C8" s="528"/>
      <c r="D8" s="528"/>
      <c r="E8" s="528" t="s">
        <v>234</v>
      </c>
      <c r="F8" s="528"/>
      <c r="G8" s="528" t="s">
        <v>235</v>
      </c>
      <c r="H8" s="528"/>
      <c r="I8" s="528"/>
      <c r="J8" s="528" t="s">
        <v>236</v>
      </c>
      <c r="K8" s="528"/>
      <c r="L8" s="528"/>
    </row>
    <row r="9" spans="2:12" ht="13.5" customHeight="1" thickTop="1" thickBot="1">
      <c r="B9" s="517"/>
      <c r="C9" s="518"/>
      <c r="D9" s="518"/>
      <c r="E9" s="519">
        <f>'Master Data'!H12</f>
        <v>0</v>
      </c>
      <c r="F9" s="519"/>
      <c r="G9" s="519" t="str">
        <f>UPPER('Master Data'!D12)</f>
        <v>ABCDE1234H</v>
      </c>
      <c r="H9" s="519"/>
      <c r="I9" s="519"/>
      <c r="J9" s="519" t="str">
        <f>UPPER('Master Data'!D10)</f>
        <v>390263384</v>
      </c>
      <c r="K9" s="519"/>
      <c r="L9" s="519"/>
    </row>
    <row r="10" spans="2:12" ht="13.5" customHeight="1" thickTop="1" thickBot="1">
      <c r="B10" s="520" t="s">
        <v>237</v>
      </c>
      <c r="C10" s="520"/>
      <c r="D10" s="520"/>
      <c r="E10" s="520"/>
      <c r="F10" s="520"/>
      <c r="G10" s="519" t="s">
        <v>238</v>
      </c>
      <c r="H10" s="519"/>
      <c r="I10" s="519" t="s">
        <v>239</v>
      </c>
      <c r="J10" s="519"/>
      <c r="K10" s="519"/>
      <c r="L10" s="519"/>
    </row>
    <row r="11" spans="2:12" ht="14.25" customHeight="1" thickTop="1" thickBot="1">
      <c r="B11" s="176" t="s">
        <v>240</v>
      </c>
      <c r="C11" s="535" t="s">
        <v>354</v>
      </c>
      <c r="D11" s="535"/>
      <c r="E11" s="535"/>
      <c r="F11" s="535"/>
      <c r="G11" s="536" t="s">
        <v>241</v>
      </c>
      <c r="H11" s="536"/>
      <c r="I11" s="531" t="s">
        <v>242</v>
      </c>
      <c r="J11" s="531"/>
      <c r="K11" s="519" t="s">
        <v>243</v>
      </c>
      <c r="L11" s="519"/>
    </row>
    <row r="12" spans="2:12" ht="14.25" customHeight="1" thickTop="1" thickBot="1">
      <c r="B12" s="176" t="s">
        <v>244</v>
      </c>
      <c r="C12" s="535" t="s">
        <v>355</v>
      </c>
      <c r="D12" s="535"/>
      <c r="E12" s="176" t="s">
        <v>245</v>
      </c>
      <c r="F12" s="173">
        <v>306401</v>
      </c>
      <c r="G12" s="536"/>
      <c r="H12" s="536"/>
      <c r="I12" s="537" t="s">
        <v>246</v>
      </c>
      <c r="J12" s="537"/>
      <c r="K12" s="537" t="s">
        <v>247</v>
      </c>
      <c r="L12" s="537"/>
    </row>
    <row r="13" spans="2:12" ht="17.25" customHeight="1" thickTop="1" thickBot="1">
      <c r="B13" s="529" t="s">
        <v>248</v>
      </c>
      <c r="C13" s="529"/>
      <c r="D13" s="529"/>
      <c r="E13" s="529"/>
      <c r="F13" s="529"/>
      <c r="G13" s="529"/>
      <c r="H13" s="529"/>
      <c r="I13" s="529"/>
      <c r="J13" s="529"/>
      <c r="K13" s="529"/>
      <c r="L13" s="529"/>
    </row>
    <row r="14" spans="2:12" ht="25.5" customHeight="1" thickTop="1" thickBot="1">
      <c r="B14" s="177" t="s">
        <v>249</v>
      </c>
      <c r="C14" s="530" t="s">
        <v>250</v>
      </c>
      <c r="D14" s="530"/>
      <c r="E14" s="530"/>
      <c r="F14" s="177" t="s">
        <v>251</v>
      </c>
      <c r="G14" s="531" t="s">
        <v>252</v>
      </c>
      <c r="H14" s="531"/>
      <c r="I14" s="531"/>
      <c r="J14" s="528" t="s">
        <v>253</v>
      </c>
      <c r="K14" s="528"/>
      <c r="L14" s="528"/>
    </row>
    <row r="15" spans="2:12" ht="16.5" customHeight="1" thickTop="1" thickBot="1">
      <c r="B15" s="178" t="s">
        <v>357</v>
      </c>
      <c r="C15" s="532"/>
      <c r="D15" s="532"/>
      <c r="E15" s="532"/>
      <c r="F15" s="175"/>
      <c r="G15" s="533">
        <f>SUM('GA55 '!T6:T8)</f>
        <v>624</v>
      </c>
      <c r="H15" s="533"/>
      <c r="I15" s="533"/>
      <c r="J15" s="534">
        <f>G15</f>
        <v>624</v>
      </c>
      <c r="K15" s="534"/>
      <c r="L15" s="534"/>
    </row>
    <row r="16" spans="2:12" ht="20.25" customHeight="1" thickTop="1" thickBot="1">
      <c r="B16" s="178" t="s">
        <v>356</v>
      </c>
      <c r="C16" s="532"/>
      <c r="D16" s="532"/>
      <c r="E16" s="532"/>
      <c r="F16" s="175"/>
      <c r="G16" s="533">
        <f>SUM('GA55 '!T9:T11)</f>
        <v>624</v>
      </c>
      <c r="H16" s="533"/>
      <c r="I16" s="533"/>
      <c r="J16" s="534">
        <f>G16</f>
        <v>624</v>
      </c>
      <c r="K16" s="534"/>
      <c r="L16" s="534"/>
    </row>
    <row r="17" spans="2:12" ht="15.75" customHeight="1" thickTop="1" thickBot="1">
      <c r="B17" s="179" t="s">
        <v>358</v>
      </c>
      <c r="C17" s="532"/>
      <c r="D17" s="532"/>
      <c r="E17" s="532"/>
      <c r="F17" s="175"/>
      <c r="G17" s="533">
        <f>SUM('GA55 '!T12:T14)</f>
        <v>624</v>
      </c>
      <c r="H17" s="533"/>
      <c r="I17" s="533"/>
      <c r="J17" s="534">
        <f>G17</f>
        <v>624</v>
      </c>
      <c r="K17" s="534"/>
      <c r="L17" s="534"/>
    </row>
    <row r="18" spans="2:12" ht="15" customHeight="1" thickTop="1" thickBot="1">
      <c r="B18" s="179" t="s">
        <v>359</v>
      </c>
      <c r="C18" s="532"/>
      <c r="D18" s="532"/>
      <c r="E18" s="532"/>
      <c r="F18" s="175"/>
      <c r="G18" s="533">
        <f>SUM('GA55 '!T15:T26)</f>
        <v>624</v>
      </c>
      <c r="H18" s="533"/>
      <c r="I18" s="533"/>
      <c r="J18" s="534">
        <f>G18</f>
        <v>624</v>
      </c>
      <c r="K18" s="534"/>
      <c r="L18" s="534"/>
    </row>
    <row r="19" spans="2:12" ht="16.5" thickTop="1" thickBot="1">
      <c r="B19" s="519" t="s">
        <v>254</v>
      </c>
      <c r="C19" s="519"/>
      <c r="D19" s="519"/>
      <c r="E19" s="519"/>
      <c r="F19" s="180">
        <f>SUM(F15:F18)</f>
        <v>0</v>
      </c>
      <c r="G19" s="538">
        <f>SUM(G15:G18)</f>
        <v>2496</v>
      </c>
      <c r="H19" s="538"/>
      <c r="I19" s="538"/>
      <c r="J19" s="538">
        <f>SUM(J15:J18)</f>
        <v>2496</v>
      </c>
      <c r="K19" s="538"/>
      <c r="L19" s="538"/>
    </row>
    <row r="20" spans="2:12" ht="15.75" thickTop="1">
      <c r="B20" s="542" t="s">
        <v>255</v>
      </c>
      <c r="C20" s="543"/>
      <c r="D20" s="543"/>
      <c r="E20" s="543"/>
      <c r="F20" s="543"/>
      <c r="G20" s="543"/>
      <c r="H20" s="543"/>
      <c r="I20" s="543"/>
      <c r="J20" s="543"/>
      <c r="K20" s="543"/>
      <c r="L20" s="544"/>
    </row>
    <row r="21" spans="2:12" ht="15.75" thickBot="1">
      <c r="B21" s="545" t="s">
        <v>256</v>
      </c>
      <c r="C21" s="546"/>
      <c r="D21" s="546"/>
      <c r="E21" s="546"/>
      <c r="F21" s="546"/>
      <c r="G21" s="546"/>
      <c r="H21" s="546"/>
      <c r="I21" s="546"/>
      <c r="J21" s="546"/>
      <c r="K21" s="546"/>
      <c r="L21" s="547"/>
    </row>
    <row r="22" spans="2:12" ht="16.5" thickTop="1" thickBot="1">
      <c r="B22" s="548" t="s">
        <v>42</v>
      </c>
      <c r="C22" s="549" t="s">
        <v>257</v>
      </c>
      <c r="D22" s="549"/>
      <c r="E22" s="549" t="s">
        <v>258</v>
      </c>
      <c r="F22" s="549"/>
      <c r="G22" s="549"/>
      <c r="H22" s="549"/>
      <c r="I22" s="549"/>
      <c r="J22" s="549"/>
      <c r="K22" s="549"/>
      <c r="L22" s="549"/>
    </row>
    <row r="23" spans="2:12" ht="38.25" customHeight="1" thickTop="1" thickBot="1">
      <c r="B23" s="548"/>
      <c r="C23" s="549"/>
      <c r="D23" s="549"/>
      <c r="E23" s="181" t="s">
        <v>259</v>
      </c>
      <c r="F23" s="181" t="s">
        <v>260</v>
      </c>
      <c r="G23" s="549" t="s">
        <v>261</v>
      </c>
      <c r="H23" s="549"/>
      <c r="I23" s="549"/>
      <c r="J23" s="549" t="s">
        <v>262</v>
      </c>
      <c r="K23" s="549"/>
      <c r="L23" s="549"/>
    </row>
    <row r="24" spans="2:12" ht="13.5" customHeight="1" thickTop="1" thickBot="1">
      <c r="B24" s="182">
        <v>1</v>
      </c>
      <c r="C24" s="539">
        <f>'GA55 '!Y6</f>
        <v>0</v>
      </c>
      <c r="D24" s="539"/>
      <c r="E24" s="174"/>
      <c r="F24" s="174"/>
      <c r="G24" s="540"/>
      <c r="H24" s="540"/>
      <c r="I24" s="540"/>
      <c r="J24" s="541" t="str">
        <f>IF(E24&gt;"0","Yes","-")</f>
        <v>-</v>
      </c>
      <c r="K24" s="541"/>
      <c r="L24" s="541"/>
    </row>
    <row r="25" spans="2:12" ht="13.5" customHeight="1" thickTop="1" thickBot="1">
      <c r="B25" s="182">
        <v>2</v>
      </c>
      <c r="C25" s="539">
        <f>'GA55 '!Y7</f>
        <v>0</v>
      </c>
      <c r="D25" s="539"/>
      <c r="E25" s="174"/>
      <c r="F25" s="174"/>
      <c r="G25" s="540"/>
      <c r="H25" s="540"/>
      <c r="I25" s="540"/>
      <c r="J25" s="541" t="str">
        <f t="shared" ref="J25:J37" si="0">IF(E25&gt;"0","Yes","-")</f>
        <v>-</v>
      </c>
      <c r="K25" s="541"/>
      <c r="L25" s="541"/>
    </row>
    <row r="26" spans="2:12" ht="13.5" customHeight="1" thickTop="1" thickBot="1">
      <c r="B26" s="182">
        <v>3</v>
      </c>
      <c r="C26" s="539">
        <f>'GA55 '!Y8</f>
        <v>0</v>
      </c>
      <c r="D26" s="539"/>
      <c r="E26" s="174"/>
      <c r="F26" s="174"/>
      <c r="G26" s="540"/>
      <c r="H26" s="540"/>
      <c r="I26" s="540"/>
      <c r="J26" s="541" t="str">
        <f t="shared" si="0"/>
        <v>-</v>
      </c>
      <c r="K26" s="541"/>
      <c r="L26" s="541"/>
    </row>
    <row r="27" spans="2:12" ht="13.5" customHeight="1" thickTop="1" thickBot="1">
      <c r="B27" s="182">
        <v>4</v>
      </c>
      <c r="C27" s="539">
        <f>'GA55 '!Y9</f>
        <v>0</v>
      </c>
      <c r="D27" s="539"/>
      <c r="E27" s="174"/>
      <c r="F27" s="174"/>
      <c r="G27" s="540"/>
      <c r="H27" s="540"/>
      <c r="I27" s="540"/>
      <c r="J27" s="541" t="str">
        <f t="shared" si="0"/>
        <v>-</v>
      </c>
      <c r="K27" s="541"/>
      <c r="L27" s="541"/>
    </row>
    <row r="28" spans="2:12" ht="13.5" customHeight="1" thickTop="1" thickBot="1">
      <c r="B28" s="182">
        <v>5</v>
      </c>
      <c r="C28" s="539">
        <f>'GA55 '!Y10</f>
        <v>0</v>
      </c>
      <c r="D28" s="539"/>
      <c r="E28" s="174"/>
      <c r="F28" s="174"/>
      <c r="G28" s="540"/>
      <c r="H28" s="540"/>
      <c r="I28" s="540"/>
      <c r="J28" s="541" t="str">
        <f t="shared" si="0"/>
        <v>-</v>
      </c>
      <c r="K28" s="541"/>
      <c r="L28" s="541"/>
    </row>
    <row r="29" spans="2:12" ht="13.5" customHeight="1" thickTop="1" thickBot="1">
      <c r="B29" s="182">
        <v>6</v>
      </c>
      <c r="C29" s="539">
        <f>'GA55 '!Y11</f>
        <v>0</v>
      </c>
      <c r="D29" s="539"/>
      <c r="E29" s="174"/>
      <c r="F29" s="174"/>
      <c r="G29" s="540"/>
      <c r="H29" s="540"/>
      <c r="I29" s="540"/>
      <c r="J29" s="541" t="str">
        <f t="shared" si="0"/>
        <v>-</v>
      </c>
      <c r="K29" s="541"/>
      <c r="L29" s="541"/>
    </row>
    <row r="30" spans="2:12" ht="13.5" customHeight="1" thickTop="1" thickBot="1">
      <c r="B30" s="182">
        <v>7</v>
      </c>
      <c r="C30" s="539">
        <f>'GA55 '!Y12</f>
        <v>0</v>
      </c>
      <c r="D30" s="539"/>
      <c r="E30" s="174"/>
      <c r="F30" s="174"/>
      <c r="G30" s="540"/>
      <c r="H30" s="540"/>
      <c r="I30" s="540"/>
      <c r="J30" s="541" t="str">
        <f t="shared" si="0"/>
        <v>-</v>
      </c>
      <c r="K30" s="541"/>
      <c r="L30" s="541"/>
    </row>
    <row r="31" spans="2:12" ht="13.5" customHeight="1" thickTop="1" thickBot="1">
      <c r="B31" s="182">
        <v>8</v>
      </c>
      <c r="C31" s="539">
        <f>'GA55 '!Y13</f>
        <v>0</v>
      </c>
      <c r="D31" s="539"/>
      <c r="E31" s="174"/>
      <c r="F31" s="174"/>
      <c r="G31" s="540"/>
      <c r="H31" s="540"/>
      <c r="I31" s="540"/>
      <c r="J31" s="541" t="str">
        <f t="shared" si="0"/>
        <v>-</v>
      </c>
      <c r="K31" s="541"/>
      <c r="L31" s="541"/>
    </row>
    <row r="32" spans="2:12" ht="13.5" customHeight="1" thickTop="1" thickBot="1">
      <c r="B32" s="182">
        <v>9</v>
      </c>
      <c r="C32" s="539">
        <f>'GA55 '!Y14</f>
        <v>0</v>
      </c>
      <c r="D32" s="539"/>
      <c r="E32" s="174"/>
      <c r="F32" s="174"/>
      <c r="G32" s="540"/>
      <c r="H32" s="540"/>
      <c r="I32" s="540"/>
      <c r="J32" s="541" t="str">
        <f t="shared" si="0"/>
        <v>-</v>
      </c>
      <c r="K32" s="541"/>
      <c r="L32" s="541"/>
    </row>
    <row r="33" spans="2:12" ht="13.5" customHeight="1" thickTop="1" thickBot="1">
      <c r="B33" s="182">
        <v>10</v>
      </c>
      <c r="C33" s="539">
        <f>'GA55 '!Y15</f>
        <v>0</v>
      </c>
      <c r="D33" s="539"/>
      <c r="E33" s="174"/>
      <c r="F33" s="174"/>
      <c r="G33" s="540"/>
      <c r="H33" s="540"/>
      <c r="I33" s="540"/>
      <c r="J33" s="541" t="str">
        <f t="shared" si="0"/>
        <v>-</v>
      </c>
      <c r="K33" s="541"/>
      <c r="L33" s="541"/>
    </row>
    <row r="34" spans="2:12" ht="13.5" customHeight="1" thickTop="1" thickBot="1">
      <c r="B34" s="182">
        <v>11</v>
      </c>
      <c r="C34" s="539">
        <f>'GA55 '!Y16</f>
        <v>0</v>
      </c>
      <c r="D34" s="539"/>
      <c r="E34" s="174"/>
      <c r="F34" s="174"/>
      <c r="G34" s="540"/>
      <c r="H34" s="540"/>
      <c r="I34" s="540"/>
      <c r="J34" s="541" t="str">
        <f t="shared" si="0"/>
        <v>-</v>
      </c>
      <c r="K34" s="541"/>
      <c r="L34" s="541"/>
    </row>
    <row r="35" spans="2:12" ht="13.5" customHeight="1" thickTop="1" thickBot="1">
      <c r="B35" s="182">
        <v>12</v>
      </c>
      <c r="C35" s="539">
        <f>'GA55 '!Y17</f>
        <v>0</v>
      </c>
      <c r="D35" s="539"/>
      <c r="E35" s="174"/>
      <c r="F35" s="174"/>
      <c r="G35" s="540"/>
      <c r="H35" s="540"/>
      <c r="I35" s="540"/>
      <c r="J35" s="541" t="str">
        <f t="shared" si="0"/>
        <v>-</v>
      </c>
      <c r="K35" s="541"/>
      <c r="L35" s="541"/>
    </row>
    <row r="36" spans="2:12" ht="13.5" customHeight="1" thickTop="1" thickBot="1">
      <c r="B36" s="182">
        <v>13</v>
      </c>
      <c r="C36" s="539">
        <f>SUM(C24:D34)-'GA55 '!Y27</f>
        <v>0</v>
      </c>
      <c r="D36" s="539"/>
      <c r="E36" s="174"/>
      <c r="F36" s="174"/>
      <c r="G36" s="540"/>
      <c r="H36" s="540"/>
      <c r="I36" s="540"/>
      <c r="J36" s="541" t="str">
        <f t="shared" si="0"/>
        <v>-</v>
      </c>
      <c r="K36" s="541"/>
      <c r="L36" s="541"/>
    </row>
    <row r="37" spans="2:12" ht="13.5" hidden="1" customHeight="1">
      <c r="B37" s="182">
        <v>14</v>
      </c>
      <c r="C37" s="539">
        <f>'[2]G.A. 55'!T24+'[2]G.A. 55'!T26</f>
        <v>0</v>
      </c>
      <c r="D37" s="539"/>
      <c r="E37" s="183"/>
      <c r="F37" s="183"/>
      <c r="G37" s="550"/>
      <c r="H37" s="550"/>
      <c r="I37" s="550"/>
      <c r="J37" s="541" t="str">
        <f t="shared" si="0"/>
        <v>-</v>
      </c>
      <c r="K37" s="541"/>
      <c r="L37" s="541"/>
    </row>
    <row r="38" spans="2:12" ht="14.25" customHeight="1" thickTop="1" thickBot="1">
      <c r="B38" s="184" t="s">
        <v>263</v>
      </c>
      <c r="C38" s="557">
        <f>SUM(C24:D37)</f>
        <v>0</v>
      </c>
      <c r="D38" s="557"/>
      <c r="E38" s="558"/>
      <c r="F38" s="558"/>
      <c r="G38" s="558"/>
      <c r="H38" s="558"/>
      <c r="I38" s="558"/>
      <c r="J38" s="558"/>
      <c r="K38" s="558"/>
      <c r="L38" s="558"/>
    </row>
    <row r="39" spans="2:12" ht="12.75" customHeight="1" thickTop="1" thickBot="1">
      <c r="B39" s="559" t="s">
        <v>264</v>
      </c>
      <c r="C39" s="559"/>
      <c r="D39" s="559"/>
      <c r="E39" s="559"/>
      <c r="F39" s="559"/>
      <c r="G39" s="559"/>
      <c r="H39" s="559"/>
      <c r="I39" s="559"/>
      <c r="J39" s="559"/>
      <c r="K39" s="559"/>
      <c r="L39" s="559"/>
    </row>
    <row r="40" spans="2:12" ht="12.75" customHeight="1" thickTop="1" thickBot="1">
      <c r="B40" s="560" t="s">
        <v>265</v>
      </c>
      <c r="C40" s="560"/>
      <c r="D40" s="560"/>
      <c r="E40" s="560"/>
      <c r="F40" s="560"/>
      <c r="G40" s="560"/>
      <c r="H40" s="560"/>
      <c r="I40" s="560"/>
      <c r="J40" s="560"/>
      <c r="K40" s="560"/>
      <c r="L40" s="560"/>
    </row>
    <row r="41" spans="2:12" ht="12.75" customHeight="1" thickTop="1" thickBot="1">
      <c r="B41" s="551" t="s">
        <v>42</v>
      </c>
      <c r="C41" s="561" t="s">
        <v>266</v>
      </c>
      <c r="D41" s="561"/>
      <c r="E41" s="551" t="s">
        <v>267</v>
      </c>
      <c r="F41" s="551"/>
      <c r="G41" s="551"/>
      <c r="H41" s="551"/>
      <c r="I41" s="551"/>
      <c r="J41" s="551"/>
      <c r="K41" s="551"/>
      <c r="L41" s="551"/>
    </row>
    <row r="42" spans="2:12" ht="35.450000000000003" customHeight="1" thickTop="1" thickBot="1">
      <c r="B42" s="551"/>
      <c r="C42" s="561"/>
      <c r="D42" s="561"/>
      <c r="E42" s="551" t="s">
        <v>268</v>
      </c>
      <c r="F42" s="551"/>
      <c r="G42" s="551" t="s">
        <v>269</v>
      </c>
      <c r="H42" s="551"/>
      <c r="I42" s="551" t="s">
        <v>270</v>
      </c>
      <c r="J42" s="551"/>
      <c r="K42" s="551" t="s">
        <v>271</v>
      </c>
      <c r="L42" s="551"/>
    </row>
    <row r="43" spans="2:12" ht="13.5" customHeight="1" thickTop="1" thickBot="1">
      <c r="B43" s="185">
        <v>1</v>
      </c>
      <c r="C43" s="552"/>
      <c r="D43" s="552"/>
      <c r="E43" s="553"/>
      <c r="F43" s="553"/>
      <c r="G43" s="554"/>
      <c r="H43" s="554"/>
      <c r="I43" s="555"/>
      <c r="J43" s="555"/>
      <c r="K43" s="556" t="str">
        <f>IF(C43&gt;"0","Yes","-")</f>
        <v>-</v>
      </c>
      <c r="L43" s="556"/>
    </row>
    <row r="44" spans="2:12" ht="13.5" customHeight="1" thickTop="1" thickBot="1">
      <c r="B44" s="185">
        <v>2</v>
      </c>
      <c r="C44" s="552"/>
      <c r="D44" s="552"/>
      <c r="E44" s="553"/>
      <c r="F44" s="553"/>
      <c r="G44" s="554"/>
      <c r="H44" s="554"/>
      <c r="I44" s="555"/>
      <c r="J44" s="555"/>
      <c r="K44" s="556" t="str">
        <f t="shared" ref="K44:K54" si="1">IF(C44&gt;"0","Yes","-")</f>
        <v>-</v>
      </c>
      <c r="L44" s="556"/>
    </row>
    <row r="45" spans="2:12" ht="13.5" customHeight="1" thickTop="1" thickBot="1">
      <c r="B45" s="185">
        <v>3</v>
      </c>
      <c r="C45" s="552"/>
      <c r="D45" s="552"/>
      <c r="E45" s="553"/>
      <c r="F45" s="553"/>
      <c r="G45" s="554"/>
      <c r="H45" s="554"/>
      <c r="I45" s="555"/>
      <c r="J45" s="555"/>
      <c r="K45" s="556" t="str">
        <f t="shared" si="1"/>
        <v>-</v>
      </c>
      <c r="L45" s="556"/>
    </row>
    <row r="46" spans="2:12" ht="13.5" customHeight="1" thickTop="1" thickBot="1">
      <c r="B46" s="185">
        <v>4</v>
      </c>
      <c r="C46" s="552"/>
      <c r="D46" s="552"/>
      <c r="E46" s="553"/>
      <c r="F46" s="553"/>
      <c r="G46" s="554"/>
      <c r="H46" s="554"/>
      <c r="I46" s="555"/>
      <c r="J46" s="555"/>
      <c r="K46" s="556" t="str">
        <f t="shared" si="1"/>
        <v>-</v>
      </c>
      <c r="L46" s="556"/>
    </row>
    <row r="47" spans="2:12" ht="13.5" customHeight="1" thickTop="1" thickBot="1">
      <c r="B47" s="185">
        <v>5</v>
      </c>
      <c r="C47" s="552"/>
      <c r="D47" s="552"/>
      <c r="E47" s="553"/>
      <c r="F47" s="553"/>
      <c r="G47" s="554"/>
      <c r="H47" s="554"/>
      <c r="I47" s="555"/>
      <c r="J47" s="555"/>
      <c r="K47" s="556" t="str">
        <f t="shared" si="1"/>
        <v>-</v>
      </c>
      <c r="L47" s="556"/>
    </row>
    <row r="48" spans="2:12" ht="13.5" customHeight="1" thickTop="1" thickBot="1">
      <c r="B48" s="185">
        <v>6</v>
      </c>
      <c r="C48" s="552"/>
      <c r="D48" s="552"/>
      <c r="E48" s="553"/>
      <c r="F48" s="553"/>
      <c r="G48" s="554"/>
      <c r="H48" s="554"/>
      <c r="I48" s="555"/>
      <c r="J48" s="555"/>
      <c r="K48" s="556" t="str">
        <f t="shared" si="1"/>
        <v>-</v>
      </c>
      <c r="L48" s="556"/>
    </row>
    <row r="49" spans="2:12" ht="13.5" customHeight="1" thickTop="1" thickBot="1">
      <c r="B49" s="185">
        <v>7</v>
      </c>
      <c r="C49" s="552"/>
      <c r="D49" s="552"/>
      <c r="E49" s="553"/>
      <c r="F49" s="553"/>
      <c r="G49" s="554"/>
      <c r="H49" s="554"/>
      <c r="I49" s="555"/>
      <c r="J49" s="555"/>
      <c r="K49" s="556" t="str">
        <f t="shared" si="1"/>
        <v>-</v>
      </c>
      <c r="L49" s="556"/>
    </row>
    <row r="50" spans="2:12" ht="13.5" customHeight="1" thickTop="1" thickBot="1">
      <c r="B50" s="185">
        <v>8</v>
      </c>
      <c r="C50" s="552"/>
      <c r="D50" s="552"/>
      <c r="E50" s="553"/>
      <c r="F50" s="553"/>
      <c r="G50" s="554"/>
      <c r="H50" s="554"/>
      <c r="I50" s="555"/>
      <c r="J50" s="555"/>
      <c r="K50" s="556" t="str">
        <f t="shared" si="1"/>
        <v>-</v>
      </c>
      <c r="L50" s="556"/>
    </row>
    <row r="51" spans="2:12" ht="13.5" customHeight="1" thickTop="1" thickBot="1">
      <c r="B51" s="185">
        <v>9</v>
      </c>
      <c r="C51" s="552"/>
      <c r="D51" s="552"/>
      <c r="E51" s="553"/>
      <c r="F51" s="553"/>
      <c r="G51" s="554"/>
      <c r="H51" s="554"/>
      <c r="I51" s="555"/>
      <c r="J51" s="555"/>
      <c r="K51" s="556" t="str">
        <f t="shared" si="1"/>
        <v>-</v>
      </c>
      <c r="L51" s="556"/>
    </row>
    <row r="52" spans="2:12" ht="13.5" customHeight="1" thickTop="1" thickBot="1">
      <c r="B52" s="185">
        <v>10</v>
      </c>
      <c r="C52" s="552"/>
      <c r="D52" s="552"/>
      <c r="E52" s="553"/>
      <c r="F52" s="553"/>
      <c r="G52" s="554"/>
      <c r="H52" s="554"/>
      <c r="I52" s="555"/>
      <c r="J52" s="555"/>
      <c r="K52" s="556" t="str">
        <f t="shared" si="1"/>
        <v>-</v>
      </c>
      <c r="L52" s="556"/>
    </row>
    <row r="53" spans="2:12" ht="13.5" customHeight="1" thickTop="1" thickBot="1">
      <c r="B53" s="185">
        <v>11</v>
      </c>
      <c r="C53" s="552"/>
      <c r="D53" s="552"/>
      <c r="E53" s="553"/>
      <c r="F53" s="553"/>
      <c r="G53" s="554"/>
      <c r="H53" s="554"/>
      <c r="I53" s="555"/>
      <c r="J53" s="555"/>
      <c r="K53" s="556" t="str">
        <f t="shared" si="1"/>
        <v>-</v>
      </c>
      <c r="L53" s="556"/>
    </row>
    <row r="54" spans="2:12" ht="13.5" customHeight="1" thickTop="1" thickBot="1">
      <c r="B54" s="185">
        <v>12</v>
      </c>
      <c r="C54" s="552"/>
      <c r="D54" s="552"/>
      <c r="E54" s="553"/>
      <c r="F54" s="553"/>
      <c r="G54" s="554"/>
      <c r="H54" s="554"/>
      <c r="I54" s="555"/>
      <c r="J54" s="555"/>
      <c r="K54" s="556" t="str">
        <f t="shared" si="1"/>
        <v>-</v>
      </c>
      <c r="L54" s="556"/>
    </row>
    <row r="55" spans="2:12" ht="13.5" hidden="1" customHeight="1">
      <c r="B55" s="185">
        <v>13</v>
      </c>
      <c r="C55" s="562"/>
      <c r="D55" s="562"/>
      <c r="E55" s="563"/>
      <c r="F55" s="563"/>
      <c r="G55" s="556"/>
      <c r="H55" s="556"/>
      <c r="I55" s="564"/>
      <c r="J55" s="564"/>
      <c r="K55" s="556"/>
      <c r="L55" s="556"/>
    </row>
    <row r="56" spans="2:12" ht="13.5" hidden="1" customHeight="1">
      <c r="B56" s="185">
        <v>14</v>
      </c>
      <c r="C56" s="562"/>
      <c r="D56" s="562"/>
      <c r="E56" s="563"/>
      <c r="F56" s="563"/>
      <c r="G56" s="556"/>
      <c r="H56" s="556"/>
      <c r="I56" s="564"/>
      <c r="J56" s="564"/>
      <c r="K56" s="556"/>
      <c r="L56" s="556"/>
    </row>
    <row r="57" spans="2:12" ht="15.6" customHeight="1" thickTop="1" thickBot="1">
      <c r="B57" s="186" t="s">
        <v>263</v>
      </c>
      <c r="C57" s="572">
        <f>SUM(C43:C56)</f>
        <v>0</v>
      </c>
      <c r="D57" s="572"/>
      <c r="E57" s="572"/>
      <c r="F57" s="572"/>
      <c r="G57" s="572"/>
      <c r="H57" s="572"/>
      <c r="I57" s="572"/>
      <c r="J57" s="572"/>
      <c r="K57" s="572"/>
      <c r="L57" s="572"/>
    </row>
    <row r="58" spans="2:12" ht="12.75" customHeight="1" thickTop="1">
      <c r="B58" s="565" t="s">
        <v>272</v>
      </c>
      <c r="C58" s="565"/>
      <c r="D58" s="565"/>
      <c r="E58" s="565"/>
      <c r="F58" s="565"/>
      <c r="G58" s="565"/>
      <c r="H58" s="565"/>
      <c r="I58" s="565"/>
      <c r="J58" s="565"/>
      <c r="K58" s="565"/>
      <c r="L58" s="565"/>
    </row>
    <row r="59" spans="2:12" ht="18.75" customHeight="1">
      <c r="B59" s="566" t="s">
        <v>273</v>
      </c>
      <c r="C59" s="566"/>
      <c r="D59" s="566"/>
      <c r="E59" s="566"/>
      <c r="F59" s="566"/>
      <c r="G59" s="566"/>
      <c r="H59" s="566"/>
      <c r="I59" s="566"/>
      <c r="J59" s="566"/>
      <c r="K59" s="566"/>
      <c r="L59" s="566"/>
    </row>
    <row r="60" spans="2:12" ht="15" customHeight="1">
      <c r="B60" s="187" t="s">
        <v>274</v>
      </c>
      <c r="C60" s="567" t="str">
        <f>B6&amp;","</f>
        <v>B.E.O.PICHHOR,</v>
      </c>
      <c r="D60" s="567"/>
      <c r="E60" s="567"/>
      <c r="F60" s="188" t="s">
        <v>275</v>
      </c>
      <c r="G60" s="568"/>
      <c r="H60" s="568"/>
      <c r="I60" s="568"/>
      <c r="J60" s="568"/>
      <c r="K60" s="569" t="s">
        <v>276</v>
      </c>
      <c r="L60" s="569"/>
    </row>
    <row r="61" spans="2:12">
      <c r="B61" s="570" t="s">
        <v>277</v>
      </c>
      <c r="C61" s="570"/>
      <c r="D61" s="568" t="s">
        <v>360</v>
      </c>
      <c r="E61" s="568"/>
      <c r="F61" s="568"/>
      <c r="G61" s="571" t="s">
        <v>278</v>
      </c>
      <c r="H61" s="571"/>
      <c r="I61" s="571"/>
      <c r="J61" s="571"/>
      <c r="K61" s="571"/>
      <c r="L61" s="571"/>
    </row>
    <row r="62" spans="2:12">
      <c r="B62" s="189" t="s">
        <v>279</v>
      </c>
      <c r="C62" s="190">
        <f>J19</f>
        <v>2496</v>
      </c>
      <c r="D62" s="578" t="str">
        <f>IF(OR(LEN(FLOOR(C62,1))=13,FLOOR(C62,1)&lt;=0),"Out of range",PROPER(SUBSTITUTE(CONCATENATE(CHOOSE(MID(TEXT(INT(C62),REPT(0,12)),1,1)+1,"","one hundred ","two hundred ","three hundred ","four hundred ","five hundred ","six hundred ","seven hundred ","eight hundred ","nine hundred "),CHOOSE(MID(TEXT(INT(C62),REPT(0,12)),2,1)+1,"",CHOOSE(MID(TEXT(INT(C62),REPT(0,12)),3,1)+1,"ten","eleven","twelve","thirteen","fourteen","fifteen","sixteen","seventeen","eighteen","nineteen"),"twenty","thirty","forty","fifty","sixty","seventy","eighty","ninety"),IF(VALUE(MID(TEXT(INT(C62),REPT(0,12)),2,1))&gt;1,CHOOSE(MID(TEXT(INT(C62),REPT(0,12)),3,1)+1,"","-one","-two","-three","-four","-five","-six","-seven","-eight","-nine"),IF(VALUE(MID(TEXT(INT(C62),REPT(0,12)),2,1))=0,CHOOSE(MID(TEXT(INT(C62),REPT(0,12)),3,1)+1,"","one","two","three","four","five","six","seven","eight","nine"),"")),IF(C62&gt;=10^9," billion ",""),CHOOSE(MID(TEXT(INT(C62),REPT(0,12)),4,1)+1,"","one hundred ","two hundred ","three hundred ","four hundred ","five hundred ","six hundred ","seven hundred ","eight hundred ","nine hundred "),CHOOSE(MID(TEXT(INT(C62),REPT(0,12)),5,1)+1,"",CHOOSE(MID(TEXT(INT(C62),REPT(0,12)),6,1)+1,"ten","eleven","twelve","thirteen","fourteen","fifteen","sixteen","seventeen","eighteen","nineteen"),"twenty","thirty","forty","fifty","sixty","seventy","eighty","ninety"),IF(VALUE(MID(TEXT(INT(C62),REPT(0,12)),5,1))&gt;1,CHOOSE(MID(TEXT(INT(C62),REPT(0,12)),6,1)+1,"","-one","-two","-three","-four","-five","-six","-seven","-eight","-nine"),IF(VALUE(MID(TEXT(INT(C62),REPT(0,12)),5,1))=0,CHOOSE(MID(TEXT(INT(C62),REPT(0,12)),6,1)+1,"","one","two","three","four","five","six","seven","eight","nine"),"")),IF(VALUE(MID(TEXT(INT(C62),REPT(0,12)),4,3))&gt;0," million ",""),CHOOSE(MID(TEXT(INT(C62),REPT(0,12)),7,1)+1,"","one hundred ","two hundred ","three hundred ","four hundred ","five hundred ","six hundred ","seven hundred ","eight hundred ","nine hundred "),CHOOSE(MID(TEXT(INT(C62),REPT(0,12)),8,1)+1,"",CHOOSE(MID(TEXT(INT(C62),REPT(0,12)),9,1)+1,"ten","eleven","twelve","thirteen","fourteen","fifteen","sixteen","seventeen","eighteen","nineteen"),"twenty","thirty","forty","fifty","sixty","seventy","eighty","ninety"),IF(VALUE(MID(TEXT(INT(C62),REPT(0,12)),8,1))&gt;1,CHOOSE(MID(TEXT(INT(C62),REPT(0,12)),9,1)+1,"","-one","-two","-three","-four","-five","-six","-seven","-eight","-nine"),IF(VALUE(MID(TEXT(INT(C62),REPT(0,12)),8,1))=0,CHOOSE(MID(TEXT(INT(C62),REPT(0,12)),9,1)+1,"","one","two","three","four","five","six","seven","eight","nine"),"")),IF(VALUE(MID(TEXT(INT(C62),REPT(0,12)),7,3))," thousand ",""),CHOOSE(MID(TEXT(INT(C62),REPT(0,12)),10,1)+1,"","one hundred ","two hundred ","three hundred ","four hundred ","five hundred ","six hundred ","seven hundred ","eight hundred ","nine hundred "),CHOOSE(MID(TEXT(INT(C62),REPT(0,12)),11,1)+1,"",CHOOSE(MID(TEXT(INT(C62),REPT(0,12)),12,1)+1,"ten","eleven","twelve","thirteen","fourteen","fifteen","sixteen","seventeen","eighteen","nineteen"),"twenty","thirty","forty","fifty","sixty","seventy","eighty","ninety"),IF(VALUE(MID(TEXT(INT(C62),REPT(0,12)),11,1))&gt;1,CHOOSE(MID(TEXT(INT(C62),REPT(0,12)),12,1)+1,"","-one","-two","-three","-four","-five","-six","-seven","-eight","-nine"),IF(VALUE(MID(TEXT(INT(C62),REPT(0,12)),11,1))=0,CHOOSE(MID(TEXT(INT(C62),REPT(0,12)),12,1)+1,"","one","two","three","four","five","six","seven","eight","nine"),""))),"  "," ")&amp;IF(FLOOR(C62,1)&gt;1," Rupees"," Rupees"))&amp;IF(ISERROR(FIND(".",C62,1)),""," and "&amp;PROPER(IF(LEN(LEFT(TRIM(MID(SUBSTITUTE('[2]16 NO.'!$B$62,".",REPT(" ",255)),255,200)),2))=1,CHOOSE(1*LEFT(TRIM(MID(SUBSTITUTE('[2]16 NO.'!$B$62,".",REPT(" ",255)),255,200)),2),"ten","twenty","thirty","forty","fifty","sixty","seventy","eighty","ninety")&amp;" Paise","")&amp;CONCATENATE(CHOOSE(MID(TEXT(INT(LEFT(TRIM(MID(SUBSTITUTE('[2]16 NO.'!$B$62,".",REPT(" ",255)),255,200)),2)),REPT(0,12)),11,1)+1,"",CHOOSE(MID(TEXT(INT(LEFT(TRIM(MID(SUBSTITUTE('[2]16 NO.'!$B$62,".",REPT(" ",255)),255,200)),2)),REPT(0,12)),12,1)+1,"ten","eleven","twelve","thirteen","fourteen","fifteen","sixteen","seventeen","eighteen","nineteen"),"twenty","thirty","forty","fifty","sixty","seventy","eighty","ninety"),IF(VALUE(MID(TEXT(INT(LEFT(TRIM(MID(SUBSTITUTE('[2]16 NO.'!$B$62,".",REPT(" ",255)),255,200)),2)),REPT(0,12)),11,1))&gt;1,CHOOSE(MID(TEXT(INT(LEFT(TRIM(MID(SUBSTITUTE('[2]16 NO.'!$B$62,".",REPT(" ",255)),255,200)),2)),REPT(0,12)),12,1)+1,"","-one","-two","-three","-four","-five","-six","-seven","-eight","-nine")&amp;" Paise",IF(LEFT(TRIM(MID(SUBSTITUTE('[2]16 NO.'!$B$62,".",REPT(" ",255)),255,200)),2)="01","one Paise",IF(LEFT(TRIM(MID(SUBSTITUTE('[2]16 NO.'!$B$62,".",REPT(" ",255)),255,200)),1)="0",CHOOSE(MID(TEXT(INT(LEFT(TRIM(MID(SUBSTITUTE('[2]16 NO.'!$B$62,".",REPT(" ",255)),255,200)),2)),REPT(0,12)),12,1)+1,"","one","two","three","four","five","six","seven","eight","nine")&amp;" Paise","")))))))</f>
        <v>Two Thousand Four Hundred Ninety-Six Rupees</v>
      </c>
      <c r="E62" s="578"/>
      <c r="F62" s="578"/>
      <c r="G62" s="578"/>
      <c r="H62" s="578"/>
      <c r="I62" s="579" t="s">
        <v>280</v>
      </c>
      <c r="J62" s="579"/>
      <c r="K62" s="579"/>
      <c r="L62" s="579"/>
    </row>
    <row r="63" spans="2:12">
      <c r="B63" s="580" t="s">
        <v>362</v>
      </c>
      <c r="C63" s="580"/>
      <c r="D63" s="580"/>
      <c r="E63" s="580"/>
      <c r="F63" s="580"/>
      <c r="G63" s="580"/>
      <c r="H63" s="580"/>
      <c r="I63" s="580"/>
      <c r="J63" s="580"/>
      <c r="K63" s="580"/>
      <c r="L63" s="580"/>
    </row>
    <row r="64" spans="2:12">
      <c r="B64" s="580" t="s">
        <v>361</v>
      </c>
      <c r="C64" s="580"/>
      <c r="D64" s="580"/>
      <c r="E64" s="580"/>
      <c r="F64" s="580"/>
      <c r="G64" s="580"/>
      <c r="H64" s="580"/>
      <c r="I64" s="580"/>
      <c r="J64" s="580"/>
      <c r="K64" s="580"/>
      <c r="L64" s="580"/>
    </row>
    <row r="65" spans="2:13" ht="27.6" customHeight="1">
      <c r="B65" s="573" t="s">
        <v>281</v>
      </c>
      <c r="C65" s="573"/>
      <c r="D65" s="581" t="str">
        <f>G7</f>
        <v xml:space="preserve">GHS HARIJAN BASTI PICHHORE </v>
      </c>
      <c r="E65" s="581"/>
      <c r="F65" s="567"/>
      <c r="G65" s="567"/>
      <c r="H65" s="567"/>
      <c r="I65" s="567"/>
      <c r="J65" s="567"/>
      <c r="K65" s="567"/>
      <c r="L65" s="567"/>
    </row>
    <row r="66" spans="2:13" ht="15.75">
      <c r="B66" s="573" t="s">
        <v>282</v>
      </c>
      <c r="C66" s="573"/>
      <c r="D66" s="574">
        <f ca="1">TODAY()</f>
        <v>44224</v>
      </c>
      <c r="E66" s="574"/>
      <c r="F66" s="575" t="s">
        <v>283</v>
      </c>
      <c r="G66" s="575"/>
      <c r="H66" s="575"/>
      <c r="I66" s="575"/>
      <c r="J66" s="575"/>
      <c r="K66" s="575"/>
      <c r="L66" s="575"/>
    </row>
    <row r="67" spans="2:13" ht="15" customHeight="1">
      <c r="B67" s="573" t="s">
        <v>284</v>
      </c>
      <c r="C67" s="573"/>
      <c r="D67" s="576" t="str">
        <f>D61</f>
        <v>PRINCIPAL</v>
      </c>
      <c r="E67" s="576"/>
      <c r="F67" s="191" t="s">
        <v>363</v>
      </c>
      <c r="G67" s="577" t="str">
        <f>B6</f>
        <v>B.E.O.PICHHOR</v>
      </c>
      <c r="H67" s="577"/>
      <c r="I67" s="577"/>
      <c r="J67" s="577"/>
      <c r="K67" s="577"/>
      <c r="L67" s="577"/>
    </row>
    <row r="68" spans="2:13" ht="15.75" thickBot="1">
      <c r="B68" s="582" t="s">
        <v>285</v>
      </c>
      <c r="C68" s="582"/>
      <c r="D68" s="582"/>
      <c r="E68" s="582"/>
      <c r="F68" s="582"/>
      <c r="G68" s="582"/>
      <c r="H68" s="582"/>
      <c r="I68" s="582"/>
      <c r="J68" s="582"/>
      <c r="K68" s="582"/>
      <c r="L68" s="582"/>
      <c r="M68" s="19"/>
    </row>
    <row r="69" spans="2:13" ht="16.5" thickTop="1" thickBot="1">
      <c r="B69" s="583" t="s">
        <v>286</v>
      </c>
      <c r="C69" s="583"/>
      <c r="D69" s="583"/>
      <c r="E69" s="583"/>
      <c r="F69" s="583"/>
      <c r="G69" s="583"/>
      <c r="H69" s="583"/>
      <c r="I69" s="583"/>
      <c r="J69" s="583"/>
      <c r="K69" s="583"/>
      <c r="L69" s="583"/>
      <c r="M69" s="19"/>
    </row>
    <row r="70" spans="2:13" ht="16.5" thickTop="1" thickBot="1">
      <c r="B70" s="584" t="s">
        <v>287</v>
      </c>
      <c r="C70" s="584"/>
      <c r="D70" s="584"/>
      <c r="E70" s="584"/>
      <c r="F70" s="584"/>
      <c r="G70" s="585"/>
      <c r="H70" s="585"/>
      <c r="I70" s="586"/>
      <c r="J70" s="586"/>
      <c r="K70" s="587"/>
      <c r="L70" s="587"/>
    </row>
    <row r="71" spans="2:13" ht="16.5" thickTop="1" thickBot="1">
      <c r="B71" s="588" t="s">
        <v>288</v>
      </c>
      <c r="C71" s="588"/>
      <c r="D71" s="588"/>
      <c r="E71" s="588"/>
      <c r="F71" s="588"/>
      <c r="G71" s="503">
        <f>COMPUTATION!O4+COMPUTATION!O5</f>
        <v>496020</v>
      </c>
      <c r="H71" s="503"/>
      <c r="I71" s="586"/>
      <c r="J71" s="586"/>
      <c r="K71" s="587"/>
      <c r="L71" s="587"/>
    </row>
    <row r="72" spans="2:13" ht="24" customHeight="1" thickTop="1" thickBot="1">
      <c r="B72" s="588" t="s">
        <v>289</v>
      </c>
      <c r="C72" s="588"/>
      <c r="D72" s="588"/>
      <c r="E72" s="588"/>
      <c r="F72" s="588"/>
      <c r="G72" s="589"/>
      <c r="H72" s="589"/>
      <c r="I72" s="586"/>
      <c r="J72" s="586"/>
      <c r="K72" s="587"/>
      <c r="L72" s="587"/>
    </row>
    <row r="73" spans="2:13" ht="27.75" customHeight="1" thickTop="1" thickBot="1">
      <c r="B73" s="588" t="s">
        <v>290</v>
      </c>
      <c r="C73" s="588"/>
      <c r="D73" s="588"/>
      <c r="E73" s="588"/>
      <c r="F73" s="588"/>
      <c r="G73" s="591">
        <v>0</v>
      </c>
      <c r="H73" s="591"/>
      <c r="I73" s="586"/>
      <c r="J73" s="586"/>
      <c r="K73" s="587"/>
      <c r="L73" s="587"/>
    </row>
    <row r="74" spans="2:13" ht="17.45" customHeight="1" thickTop="1" thickBot="1">
      <c r="B74" s="592" t="s">
        <v>291</v>
      </c>
      <c r="C74" s="592"/>
      <c r="D74" s="592"/>
      <c r="E74" s="592"/>
      <c r="F74" s="592"/>
      <c r="G74" s="593"/>
      <c r="H74" s="593"/>
      <c r="I74" s="590">
        <f>G71+G72+G73</f>
        <v>496020</v>
      </c>
      <c r="J74" s="590"/>
      <c r="K74" s="587"/>
      <c r="L74" s="587"/>
    </row>
    <row r="75" spans="2:13" ht="17.45" customHeight="1" thickTop="1" thickBot="1">
      <c r="B75" s="588" t="s">
        <v>292</v>
      </c>
      <c r="C75" s="588"/>
      <c r="D75" s="588"/>
      <c r="E75" s="588"/>
      <c r="F75" s="588"/>
      <c r="G75" s="593"/>
      <c r="H75" s="593"/>
      <c r="I75" s="594"/>
      <c r="J75" s="594"/>
      <c r="K75" s="587"/>
      <c r="L75" s="587"/>
    </row>
    <row r="76" spans="2:13" ht="16.5" thickTop="1" thickBot="1">
      <c r="B76" s="514" t="s">
        <v>293</v>
      </c>
      <c r="C76" s="515"/>
      <c r="D76" s="515"/>
      <c r="E76" s="515"/>
      <c r="F76" s="516"/>
      <c r="G76" s="593"/>
      <c r="H76" s="593"/>
      <c r="I76" s="594"/>
      <c r="J76" s="594"/>
      <c r="K76" s="587"/>
      <c r="L76" s="587"/>
    </row>
    <row r="77" spans="2:13" ht="16.5" thickTop="1" thickBot="1">
      <c r="B77" s="595" t="s">
        <v>294</v>
      </c>
      <c r="C77" s="595"/>
      <c r="D77" s="595"/>
      <c r="E77" s="192">
        <f>COMPUTATION!O6</f>
        <v>0</v>
      </c>
      <c r="F77" s="192">
        <f>E77</f>
        <v>0</v>
      </c>
      <c r="G77" s="593"/>
      <c r="H77" s="593"/>
      <c r="I77" s="594"/>
      <c r="J77" s="594"/>
      <c r="K77" s="587"/>
      <c r="L77" s="587"/>
    </row>
    <row r="78" spans="2:13" ht="16.5" thickTop="1" thickBot="1">
      <c r="B78" s="583" t="s">
        <v>295</v>
      </c>
      <c r="C78" s="583"/>
      <c r="D78" s="583"/>
      <c r="E78" s="193"/>
      <c r="F78" s="203">
        <v>0</v>
      </c>
      <c r="G78" s="503">
        <f>F77+F78</f>
        <v>0</v>
      </c>
      <c r="H78" s="503"/>
      <c r="I78" s="594"/>
      <c r="J78" s="594"/>
      <c r="K78" s="587"/>
      <c r="L78" s="587"/>
    </row>
    <row r="79" spans="2:13" ht="16.5" thickTop="1" thickBot="1">
      <c r="B79" s="584" t="s">
        <v>296</v>
      </c>
      <c r="C79" s="584"/>
      <c r="D79" s="584"/>
      <c r="E79" s="584"/>
      <c r="F79" s="584"/>
      <c r="G79" s="594"/>
      <c r="H79" s="594"/>
      <c r="I79" s="590">
        <f>I74-G78</f>
        <v>496020</v>
      </c>
      <c r="J79" s="590"/>
      <c r="K79" s="587"/>
      <c r="L79" s="587"/>
    </row>
    <row r="80" spans="2:13" ht="13.5" customHeight="1" thickTop="1" thickBot="1">
      <c r="B80" s="588" t="s">
        <v>297</v>
      </c>
      <c r="C80" s="588"/>
      <c r="D80" s="588"/>
      <c r="E80" s="588"/>
      <c r="F80" s="588"/>
      <c r="G80" s="594"/>
      <c r="H80" s="594"/>
      <c r="I80" s="508"/>
      <c r="J80" s="509"/>
      <c r="K80" s="587"/>
      <c r="L80" s="587"/>
    </row>
    <row r="81" spans="2:12" ht="13.5" customHeight="1" thickTop="1" thickBot="1">
      <c r="B81" s="596" t="s">
        <v>298</v>
      </c>
      <c r="C81" s="596"/>
      <c r="D81" s="588" t="s">
        <v>299</v>
      </c>
      <c r="E81" s="588"/>
      <c r="F81" s="588"/>
      <c r="G81" s="597">
        <f>COMPUTATION!K10</f>
        <v>50000</v>
      </c>
      <c r="H81" s="597"/>
      <c r="I81" s="510"/>
      <c r="J81" s="511"/>
      <c r="K81" s="587"/>
      <c r="L81" s="587"/>
    </row>
    <row r="82" spans="2:12" ht="13.5" customHeight="1" thickTop="1" thickBot="1">
      <c r="B82" s="596" t="s">
        <v>300</v>
      </c>
      <c r="C82" s="596"/>
      <c r="D82" s="588" t="s">
        <v>301</v>
      </c>
      <c r="E82" s="588"/>
      <c r="F82" s="588"/>
      <c r="G82" s="594">
        <f>COMPUTATION!K8</f>
        <v>0</v>
      </c>
      <c r="H82" s="594"/>
      <c r="I82" s="510"/>
      <c r="J82" s="511"/>
      <c r="K82" s="587"/>
      <c r="L82" s="587"/>
    </row>
    <row r="83" spans="2:12" ht="13.5" customHeight="1" thickTop="1" thickBot="1">
      <c r="B83" s="596" t="s">
        <v>302</v>
      </c>
      <c r="C83" s="596"/>
      <c r="D83" s="588" t="s">
        <v>303</v>
      </c>
      <c r="E83" s="588"/>
      <c r="F83" s="588"/>
      <c r="G83" s="598">
        <f>COMPUTATION!K9</f>
        <v>0</v>
      </c>
      <c r="H83" s="598"/>
      <c r="I83" s="512"/>
      <c r="J83" s="513"/>
      <c r="K83" s="587"/>
      <c r="L83" s="587"/>
    </row>
    <row r="84" spans="2:12" ht="13.5" customHeight="1" thickTop="1" thickBot="1">
      <c r="B84" s="496" t="s">
        <v>392</v>
      </c>
      <c r="C84" s="496"/>
      <c r="D84" s="497" t="s">
        <v>393</v>
      </c>
      <c r="E84" s="498"/>
      <c r="F84" s="220" t="s">
        <v>394</v>
      </c>
      <c r="G84" s="499"/>
      <c r="H84" s="500"/>
      <c r="I84" s="503">
        <f>G82+G83+G81</f>
        <v>50000</v>
      </c>
      <c r="J84" s="503"/>
      <c r="K84" s="587"/>
      <c r="L84" s="587"/>
    </row>
    <row r="85" spans="2:12" ht="13.5" customHeight="1" thickTop="1" thickBot="1">
      <c r="B85" s="503">
        <f>COMPUTATION!D14</f>
        <v>0</v>
      </c>
      <c r="C85" s="503"/>
      <c r="D85" s="503">
        <f>COMPUTATION!F14</f>
        <v>0</v>
      </c>
      <c r="E85" s="503"/>
      <c r="F85" s="203">
        <f>COMPUTATION!I14</f>
        <v>0</v>
      </c>
      <c r="G85" s="501"/>
      <c r="H85" s="502"/>
      <c r="I85" s="503">
        <f>B85+D85+F85</f>
        <v>0</v>
      </c>
      <c r="J85" s="503"/>
      <c r="K85" s="587"/>
      <c r="L85" s="587"/>
    </row>
    <row r="86" spans="2:12" ht="13.5" customHeight="1" thickTop="1" thickBot="1">
      <c r="B86" s="588" t="s">
        <v>304</v>
      </c>
      <c r="C86" s="588"/>
      <c r="D86" s="588"/>
      <c r="E86" s="588"/>
      <c r="F86" s="588"/>
      <c r="G86" s="597"/>
      <c r="H86" s="597"/>
      <c r="I86" s="590">
        <f>I84+I85</f>
        <v>50000</v>
      </c>
      <c r="J86" s="590"/>
      <c r="K86" s="587"/>
      <c r="L86" s="587"/>
    </row>
    <row r="87" spans="2:12" ht="13.5" customHeight="1" thickTop="1" thickBot="1">
      <c r="B87" s="599" t="s">
        <v>305</v>
      </c>
      <c r="C87" s="599"/>
      <c r="D87" s="599"/>
      <c r="E87" s="599"/>
      <c r="F87" s="599"/>
      <c r="G87" s="597"/>
      <c r="H87" s="597"/>
      <c r="I87" s="586"/>
      <c r="J87" s="586"/>
      <c r="K87" s="600">
        <f>I79-I86</f>
        <v>446020</v>
      </c>
      <c r="L87" s="600"/>
    </row>
    <row r="88" spans="2:12" ht="13.5" customHeight="1" thickTop="1" thickBot="1">
      <c r="B88" s="599" t="s">
        <v>306</v>
      </c>
      <c r="C88" s="599"/>
      <c r="D88" s="599"/>
      <c r="E88" s="599"/>
      <c r="F88" s="599"/>
      <c r="G88" s="597"/>
      <c r="H88" s="597"/>
      <c r="I88" s="586"/>
      <c r="J88" s="586"/>
      <c r="K88" s="587"/>
      <c r="L88" s="587"/>
    </row>
    <row r="89" spans="2:12" ht="13.5" customHeight="1" thickTop="1" thickBot="1">
      <c r="B89" s="605" t="s">
        <v>307</v>
      </c>
      <c r="C89" s="605"/>
      <c r="D89" s="605"/>
      <c r="E89" s="605"/>
      <c r="F89" s="194" t="s">
        <v>308</v>
      </c>
      <c r="G89" s="597"/>
      <c r="H89" s="597"/>
      <c r="I89" s="586"/>
      <c r="J89" s="586"/>
      <c r="K89" s="587"/>
      <c r="L89" s="587"/>
    </row>
    <row r="90" spans="2:12" ht="13.5" customHeight="1" thickTop="1" thickBot="1">
      <c r="B90" s="605" t="s">
        <v>309</v>
      </c>
      <c r="C90" s="605"/>
      <c r="D90" s="605"/>
      <c r="E90" s="605"/>
      <c r="F90" s="195">
        <f>COMPUTATION!K12</f>
        <v>0</v>
      </c>
      <c r="G90" s="597"/>
      <c r="H90" s="597"/>
      <c r="I90" s="586"/>
      <c r="J90" s="586"/>
      <c r="K90" s="587"/>
      <c r="L90" s="587"/>
    </row>
    <row r="91" spans="2:12" ht="13.5" customHeight="1" thickTop="1" thickBot="1">
      <c r="B91" s="606" t="s">
        <v>310</v>
      </c>
      <c r="C91" s="606"/>
      <c r="D91" s="606"/>
      <c r="E91" s="606"/>
      <c r="F91" s="195">
        <f>COMPUTATION!E16</f>
        <v>1000</v>
      </c>
      <c r="G91" s="597"/>
      <c r="H91" s="597"/>
      <c r="I91" s="503">
        <f>F90+F91</f>
        <v>1000</v>
      </c>
      <c r="J91" s="503"/>
      <c r="K91" s="587"/>
      <c r="L91" s="587"/>
    </row>
    <row r="92" spans="2:12" ht="14.25" customHeight="1" thickTop="1" thickBot="1">
      <c r="B92" s="584" t="s">
        <v>311</v>
      </c>
      <c r="C92" s="584"/>
      <c r="D92" s="584"/>
      <c r="E92" s="584"/>
      <c r="F92" s="584"/>
      <c r="G92" s="597"/>
      <c r="H92" s="597"/>
      <c r="I92" s="586"/>
      <c r="J92" s="586"/>
      <c r="K92" s="600">
        <f>K87+I91</f>
        <v>447020</v>
      </c>
      <c r="L92" s="600"/>
    </row>
    <row r="93" spans="2:12" ht="15" customHeight="1" thickTop="1" thickBot="1">
      <c r="B93" s="584" t="s">
        <v>312</v>
      </c>
      <c r="C93" s="584"/>
      <c r="D93" s="584"/>
      <c r="E93" s="584"/>
      <c r="F93" s="584"/>
      <c r="G93" s="597"/>
      <c r="H93" s="597"/>
      <c r="I93" s="586"/>
      <c r="J93" s="586"/>
      <c r="K93" s="587"/>
      <c r="L93" s="587"/>
    </row>
    <row r="94" spans="2:12" ht="15" customHeight="1" thickTop="1" thickBot="1">
      <c r="B94" s="601" t="s">
        <v>313</v>
      </c>
      <c r="C94" s="601"/>
      <c r="D94" s="601"/>
      <c r="E94" s="601"/>
      <c r="F94" s="601"/>
      <c r="G94" s="597"/>
      <c r="H94" s="597"/>
      <c r="I94" s="586"/>
      <c r="J94" s="586"/>
      <c r="K94" s="587"/>
      <c r="L94" s="587"/>
    </row>
    <row r="95" spans="2:12" ht="16.5" customHeight="1" thickTop="1" thickBot="1">
      <c r="B95" s="602" t="s">
        <v>314</v>
      </c>
      <c r="C95" s="602"/>
      <c r="D95" s="602"/>
      <c r="E95" s="602"/>
      <c r="F95" s="602"/>
      <c r="G95" s="603"/>
      <c r="H95" s="603"/>
      <c r="I95" s="604" t="s">
        <v>315</v>
      </c>
      <c r="J95" s="604"/>
      <c r="K95" s="604" t="s">
        <v>316</v>
      </c>
      <c r="L95" s="604"/>
    </row>
    <row r="96" spans="2:12" ht="12.75" customHeight="1" thickTop="1" thickBot="1">
      <c r="B96" s="607" t="s">
        <v>317</v>
      </c>
      <c r="C96" s="196">
        <v>1</v>
      </c>
      <c r="D96" s="608" t="s">
        <v>318</v>
      </c>
      <c r="E96" s="609" t="s">
        <v>4</v>
      </c>
      <c r="F96" s="609"/>
      <c r="G96" s="610" t="str">
        <f>COMPUTATION!G26</f>
        <v>0</v>
      </c>
      <c r="H96" s="610"/>
      <c r="I96" s="616"/>
      <c r="J96" s="617"/>
      <c r="K96" s="622"/>
      <c r="L96" s="623"/>
    </row>
    <row r="97" spans="2:12" ht="12.75" customHeight="1" thickTop="1" thickBot="1">
      <c r="B97" s="607"/>
      <c r="C97" s="196">
        <v>2</v>
      </c>
      <c r="D97" s="608"/>
      <c r="E97" s="609" t="s">
        <v>319</v>
      </c>
      <c r="F97" s="609"/>
      <c r="G97" s="610">
        <f>COMPUTATION!G21</f>
        <v>0</v>
      </c>
      <c r="H97" s="610"/>
      <c r="I97" s="618"/>
      <c r="J97" s="619"/>
      <c r="K97" s="624"/>
      <c r="L97" s="625"/>
    </row>
    <row r="98" spans="2:12" ht="12.75" customHeight="1" thickTop="1" thickBot="1">
      <c r="B98" s="607"/>
      <c r="C98" s="196">
        <v>3</v>
      </c>
      <c r="D98" s="608"/>
      <c r="E98" s="609" t="s">
        <v>320</v>
      </c>
      <c r="F98" s="609"/>
      <c r="G98" s="610">
        <f>COMPUTATION!G27</f>
        <v>2400</v>
      </c>
      <c r="H98" s="610"/>
      <c r="I98" s="618"/>
      <c r="J98" s="619"/>
      <c r="K98" s="624"/>
      <c r="L98" s="625"/>
    </row>
    <row r="99" spans="2:12" ht="12.75" customHeight="1" thickTop="1" thickBot="1">
      <c r="B99" s="607"/>
      <c r="C99" s="196">
        <v>4</v>
      </c>
      <c r="D99" s="608"/>
      <c r="E99" s="609" t="s">
        <v>321</v>
      </c>
      <c r="F99" s="609"/>
      <c r="G99" s="610">
        <f>COMPUTATION!G22+COMPUTATION!G30+COMPUTATION!M27+COMPUTATION!G28</f>
        <v>0</v>
      </c>
      <c r="H99" s="610"/>
      <c r="I99" s="618"/>
      <c r="J99" s="619"/>
      <c r="K99" s="624"/>
      <c r="L99" s="625"/>
    </row>
    <row r="100" spans="2:12" ht="12.75" customHeight="1" thickTop="1" thickBot="1">
      <c r="B100" s="607"/>
      <c r="C100" s="196">
        <v>5</v>
      </c>
      <c r="D100" s="608"/>
      <c r="E100" s="609" t="s">
        <v>322</v>
      </c>
      <c r="F100" s="609"/>
      <c r="G100" s="610">
        <f>COMPUTATION!G24</f>
        <v>0</v>
      </c>
      <c r="H100" s="610"/>
      <c r="I100" s="618"/>
      <c r="J100" s="619"/>
      <c r="K100" s="624"/>
      <c r="L100" s="625"/>
    </row>
    <row r="101" spans="2:12" ht="14.25" customHeight="1" thickTop="1" thickBot="1">
      <c r="B101" s="607"/>
      <c r="C101" s="196">
        <v>6</v>
      </c>
      <c r="D101" s="608"/>
      <c r="E101" s="609" t="s">
        <v>323</v>
      </c>
      <c r="F101" s="609"/>
      <c r="G101" s="610">
        <f>COMPUTATION!G29</f>
        <v>0</v>
      </c>
      <c r="H101" s="610"/>
      <c r="I101" s="618"/>
      <c r="J101" s="619"/>
      <c r="K101" s="624"/>
      <c r="L101" s="625"/>
    </row>
    <row r="102" spans="2:12" ht="14.25" customHeight="1" thickTop="1" thickBot="1">
      <c r="B102" s="607"/>
      <c r="C102" s="196">
        <v>7</v>
      </c>
      <c r="D102" s="608"/>
      <c r="E102" s="588" t="s">
        <v>324</v>
      </c>
      <c r="F102" s="588"/>
      <c r="G102" s="610">
        <f>'[2]TAX (OLD)'!L21</f>
        <v>0</v>
      </c>
      <c r="H102" s="610"/>
      <c r="I102" s="618"/>
      <c r="J102" s="619"/>
      <c r="K102" s="624"/>
      <c r="L102" s="625"/>
    </row>
    <row r="103" spans="2:12" ht="14.25" customHeight="1" thickTop="1" thickBot="1">
      <c r="B103" s="607"/>
      <c r="C103" s="196">
        <v>8</v>
      </c>
      <c r="D103" s="608"/>
      <c r="E103" s="611" t="s">
        <v>389</v>
      </c>
      <c r="F103" s="611"/>
      <c r="G103" s="610">
        <f>COMPUTATION!M21+COMPUTATION!M22+COMPUTATION!G31</f>
        <v>44436</v>
      </c>
      <c r="H103" s="610"/>
      <c r="I103" s="618"/>
      <c r="J103" s="619"/>
      <c r="K103" s="624"/>
      <c r="L103" s="625"/>
    </row>
    <row r="104" spans="2:12" ht="14.25" customHeight="1" thickTop="1" thickBot="1">
      <c r="B104" s="607"/>
      <c r="C104" s="196">
        <v>9</v>
      </c>
      <c r="D104" s="608"/>
      <c r="E104" s="609" t="s">
        <v>325</v>
      </c>
      <c r="F104" s="609"/>
      <c r="G104" s="610">
        <f>COMPUTATION!M24</f>
        <v>0</v>
      </c>
      <c r="H104" s="610"/>
      <c r="I104" s="618"/>
      <c r="J104" s="619"/>
      <c r="K104" s="624"/>
      <c r="L104" s="625"/>
    </row>
    <row r="105" spans="2:12" ht="14.25" customHeight="1" thickTop="1" thickBot="1">
      <c r="B105" s="607"/>
      <c r="C105" s="196">
        <v>10</v>
      </c>
      <c r="D105" s="608"/>
      <c r="E105" s="609" t="s">
        <v>326</v>
      </c>
      <c r="F105" s="609"/>
      <c r="G105" s="610">
        <f>COMPUTATION!G25+COMPUTATION!M23</f>
        <v>0</v>
      </c>
      <c r="H105" s="610"/>
      <c r="I105" s="618"/>
      <c r="J105" s="619"/>
      <c r="K105" s="624"/>
      <c r="L105" s="625"/>
    </row>
    <row r="106" spans="2:12" ht="18.75" customHeight="1" thickTop="1" thickBot="1">
      <c r="B106" s="607"/>
      <c r="C106" s="196">
        <v>11</v>
      </c>
      <c r="D106" s="608"/>
      <c r="E106" s="588" t="s">
        <v>327</v>
      </c>
      <c r="F106" s="588"/>
      <c r="G106" s="610">
        <f>COMPUTATION!M29</f>
        <v>0</v>
      </c>
      <c r="H106" s="610"/>
      <c r="I106" s="618"/>
      <c r="J106" s="619"/>
      <c r="K106" s="624"/>
      <c r="L106" s="625"/>
    </row>
    <row r="107" spans="2:12" ht="18.75" customHeight="1" thickTop="1" thickBot="1">
      <c r="B107" s="607"/>
      <c r="C107" s="196">
        <v>12</v>
      </c>
      <c r="D107" s="608"/>
      <c r="E107" s="609" t="s">
        <v>328</v>
      </c>
      <c r="F107" s="609"/>
      <c r="G107" s="610">
        <f>COMPUTATION!M30</f>
        <v>0</v>
      </c>
      <c r="H107" s="610"/>
      <c r="I107" s="620"/>
      <c r="J107" s="621"/>
      <c r="K107" s="626"/>
      <c r="L107" s="627"/>
    </row>
    <row r="108" spans="2:12" ht="18.75" customHeight="1" thickTop="1" thickBot="1">
      <c r="B108" s="607"/>
      <c r="C108" s="196">
        <v>13</v>
      </c>
      <c r="D108" s="608"/>
      <c r="E108" s="588" t="s">
        <v>329</v>
      </c>
      <c r="F108" s="588"/>
      <c r="G108" s="610">
        <f>COMPUTATION!M28</f>
        <v>0</v>
      </c>
      <c r="H108" s="610"/>
      <c r="I108" s="614">
        <f>SUM(G96:H108)</f>
        <v>46836</v>
      </c>
      <c r="J108" s="614"/>
      <c r="K108" s="615">
        <f>IF(I108&lt;=150000, I108, 150000)</f>
        <v>46836</v>
      </c>
      <c r="L108" s="615"/>
    </row>
    <row r="109" spans="2:12" ht="16.5" customHeight="1" thickTop="1" thickBot="1">
      <c r="B109" s="607"/>
      <c r="C109" s="606" t="s">
        <v>330</v>
      </c>
      <c r="D109" s="606"/>
      <c r="E109" s="606"/>
      <c r="F109" s="606"/>
      <c r="G109" s="610">
        <f>COMPUTATION!O33</f>
        <v>44436</v>
      </c>
      <c r="H109" s="610"/>
      <c r="I109" s="612">
        <f>G109</f>
        <v>44436</v>
      </c>
      <c r="J109" s="612"/>
      <c r="K109" s="612">
        <f>I109</f>
        <v>44436</v>
      </c>
      <c r="L109" s="612"/>
    </row>
    <row r="110" spans="2:12" ht="17.100000000000001" customHeight="1" thickTop="1" thickBot="1">
      <c r="B110" s="607"/>
      <c r="C110" s="613" t="s">
        <v>331</v>
      </c>
      <c r="D110" s="613"/>
      <c r="E110" s="613"/>
      <c r="F110" s="613"/>
      <c r="G110" s="610">
        <f>COMPUTATION!O34</f>
        <v>0</v>
      </c>
      <c r="H110" s="610"/>
      <c r="I110" s="503">
        <f>SUM(K108,G109,G110)</f>
        <v>91272</v>
      </c>
      <c r="J110" s="503"/>
      <c r="K110" s="590">
        <f>I110</f>
        <v>91272</v>
      </c>
      <c r="L110" s="590"/>
    </row>
    <row r="111" spans="2:12" ht="15" customHeight="1" thickTop="1">
      <c r="B111" s="197"/>
      <c r="C111" s="197"/>
      <c r="D111" s="197"/>
      <c r="E111" s="197"/>
      <c r="F111" s="197"/>
      <c r="G111" s="197"/>
      <c r="H111" s="197"/>
      <c r="I111" s="632" t="s">
        <v>332</v>
      </c>
      <c r="J111" s="632"/>
      <c r="K111" s="632"/>
      <c r="L111" s="197"/>
    </row>
    <row r="112" spans="2:12" ht="18.600000000000001" customHeight="1" thickBot="1">
      <c r="B112" s="632" t="s">
        <v>333</v>
      </c>
      <c r="C112" s="632"/>
      <c r="D112" s="632"/>
      <c r="E112" s="632"/>
      <c r="F112" s="632"/>
      <c r="G112" s="632"/>
      <c r="H112" s="632"/>
      <c r="I112" s="632"/>
      <c r="J112" s="632"/>
      <c r="K112" s="632"/>
      <c r="L112" s="632"/>
    </row>
    <row r="113" spans="2:12" ht="21" customHeight="1" thickTop="1" thickBot="1">
      <c r="B113" s="633" t="s">
        <v>364</v>
      </c>
      <c r="C113" s="633"/>
      <c r="D113" s="633"/>
      <c r="E113" s="633"/>
      <c r="F113" s="633"/>
      <c r="G113" s="634" t="s">
        <v>315</v>
      </c>
      <c r="H113" s="634"/>
      <c r="I113" s="634" t="s">
        <v>334</v>
      </c>
      <c r="J113" s="634"/>
      <c r="K113" s="634" t="s">
        <v>316</v>
      </c>
      <c r="L113" s="634"/>
    </row>
    <row r="114" spans="2:12" ht="15" customHeight="1" thickTop="1" thickBot="1">
      <c r="B114" s="198">
        <v>1</v>
      </c>
      <c r="C114" s="629" t="s">
        <v>335</v>
      </c>
      <c r="D114" s="629"/>
      <c r="E114" s="629"/>
      <c r="F114" s="629"/>
      <c r="G114" s="630">
        <f>COMPUTATION!O37</f>
        <v>0</v>
      </c>
      <c r="H114" s="630"/>
      <c r="I114" s="631">
        <f t="shared" ref="I114:I121" si="2">G114</f>
        <v>0</v>
      </c>
      <c r="J114" s="631"/>
      <c r="K114" s="628"/>
      <c r="L114" s="628"/>
    </row>
    <row r="115" spans="2:12" ht="15" customHeight="1" thickTop="1" thickBot="1">
      <c r="B115" s="198">
        <v>2</v>
      </c>
      <c r="C115" s="629" t="s">
        <v>336</v>
      </c>
      <c r="D115" s="629"/>
      <c r="E115" s="629"/>
      <c r="F115" s="629"/>
      <c r="G115" s="630">
        <f>COMPUTATION!O38</f>
        <v>0</v>
      </c>
      <c r="H115" s="630"/>
      <c r="I115" s="631">
        <f t="shared" si="2"/>
        <v>0</v>
      </c>
      <c r="J115" s="631"/>
      <c r="K115" s="628"/>
      <c r="L115" s="628"/>
    </row>
    <row r="116" spans="2:12" ht="15" customHeight="1" thickTop="1" thickBot="1">
      <c r="B116" s="198">
        <v>3</v>
      </c>
      <c r="C116" s="629" t="s">
        <v>337</v>
      </c>
      <c r="D116" s="629"/>
      <c r="E116" s="629"/>
      <c r="F116" s="629"/>
      <c r="G116" s="630">
        <f>COMPUTATION!O39</f>
        <v>0</v>
      </c>
      <c r="H116" s="630"/>
      <c r="I116" s="631">
        <f t="shared" si="2"/>
        <v>0</v>
      </c>
      <c r="J116" s="631"/>
      <c r="K116" s="628"/>
      <c r="L116" s="628"/>
    </row>
    <row r="117" spans="2:12" ht="15" customHeight="1" thickTop="1" thickBot="1">
      <c r="B117" s="198">
        <v>4</v>
      </c>
      <c r="C117" s="629" t="s">
        <v>338</v>
      </c>
      <c r="D117" s="629"/>
      <c r="E117" s="629"/>
      <c r="F117" s="629"/>
      <c r="G117" s="630">
        <f>COMPUTATION!O40</f>
        <v>0</v>
      </c>
      <c r="H117" s="630"/>
      <c r="I117" s="631">
        <f t="shared" si="2"/>
        <v>0</v>
      </c>
      <c r="J117" s="631"/>
      <c r="K117" s="628"/>
      <c r="L117" s="628"/>
    </row>
    <row r="118" spans="2:12" ht="14.25" customHeight="1" thickTop="1" thickBot="1">
      <c r="B118" s="198">
        <v>5</v>
      </c>
      <c r="C118" s="629" t="s">
        <v>339</v>
      </c>
      <c r="D118" s="629"/>
      <c r="E118" s="629"/>
      <c r="F118" s="629"/>
      <c r="G118" s="635">
        <f>COMPUTATION!O41</f>
        <v>12000</v>
      </c>
      <c r="H118" s="636"/>
      <c r="I118" s="631">
        <f t="shared" si="2"/>
        <v>12000</v>
      </c>
      <c r="J118" s="631"/>
      <c r="K118" s="628"/>
      <c r="L118" s="628"/>
    </row>
    <row r="119" spans="2:12" ht="15" customHeight="1" thickTop="1" thickBot="1">
      <c r="B119" s="198">
        <v>6</v>
      </c>
      <c r="C119" s="629" t="s">
        <v>340</v>
      </c>
      <c r="D119" s="629"/>
      <c r="E119" s="629"/>
      <c r="F119" s="629"/>
      <c r="G119" s="637"/>
      <c r="H119" s="637"/>
      <c r="I119" s="631">
        <f t="shared" si="2"/>
        <v>0</v>
      </c>
      <c r="J119" s="631"/>
      <c r="K119" s="628"/>
      <c r="L119" s="628"/>
    </row>
    <row r="120" spans="2:12" ht="15" customHeight="1" thickTop="1" thickBot="1">
      <c r="B120" s="198">
        <v>7</v>
      </c>
      <c r="C120" s="629" t="s">
        <v>341</v>
      </c>
      <c r="D120" s="629"/>
      <c r="E120" s="629"/>
      <c r="F120" s="629"/>
      <c r="G120" s="638">
        <f>COMPUTATION!O44</f>
        <v>0</v>
      </c>
      <c r="H120" s="638"/>
      <c r="I120" s="631">
        <f t="shared" si="2"/>
        <v>0</v>
      </c>
      <c r="J120" s="631"/>
      <c r="K120" s="628"/>
      <c r="L120" s="628"/>
    </row>
    <row r="121" spans="2:12" ht="15" customHeight="1" thickTop="1" thickBot="1">
      <c r="B121" s="198">
        <v>8</v>
      </c>
      <c r="C121" s="629" t="s">
        <v>342</v>
      </c>
      <c r="D121" s="629"/>
      <c r="E121" s="629"/>
      <c r="F121" s="629"/>
      <c r="G121" s="630">
        <f>COMPUTATION!O42</f>
        <v>0</v>
      </c>
      <c r="H121" s="630"/>
      <c r="I121" s="631">
        <f t="shared" si="2"/>
        <v>0</v>
      </c>
      <c r="J121" s="631"/>
      <c r="K121" s="628"/>
      <c r="L121" s="628"/>
    </row>
    <row r="122" spans="2:12" ht="16.5" customHeight="1" thickTop="1" thickBot="1">
      <c r="B122" s="178">
        <v>9</v>
      </c>
      <c r="C122" s="531" t="s">
        <v>370</v>
      </c>
      <c r="D122" s="531"/>
      <c r="E122" s="531"/>
      <c r="F122" s="531"/>
      <c r="G122" s="630">
        <f>COMPUTATION!O43</f>
        <v>1000</v>
      </c>
      <c r="H122" s="630"/>
      <c r="I122" s="631">
        <f t="shared" ref="I122" si="3">G122</f>
        <v>1000</v>
      </c>
      <c r="J122" s="631"/>
      <c r="K122" s="639">
        <f>ROUND(SUM(I114:J122),0)</f>
        <v>13000</v>
      </c>
      <c r="L122" s="639"/>
    </row>
    <row r="123" spans="2:12" ht="14.25" customHeight="1" thickTop="1" thickBot="1">
      <c r="B123" s="640" t="s">
        <v>343</v>
      </c>
      <c r="C123" s="640"/>
      <c r="D123" s="640"/>
      <c r="E123" s="640"/>
      <c r="F123" s="640"/>
      <c r="G123" s="641"/>
      <c r="H123" s="641"/>
      <c r="I123" s="641"/>
      <c r="J123" s="641"/>
      <c r="K123" s="631">
        <f>ROUND((K110+K122),0)</f>
        <v>104272</v>
      </c>
      <c r="L123" s="631"/>
    </row>
    <row r="124" spans="2:12" ht="15" customHeight="1" thickTop="1" thickBot="1">
      <c r="B124" s="642" t="s">
        <v>344</v>
      </c>
      <c r="C124" s="643"/>
      <c r="D124" s="643"/>
      <c r="E124" s="644" t="s">
        <v>345</v>
      </c>
      <c r="F124" s="645"/>
      <c r="G124" s="646"/>
      <c r="H124" s="641"/>
      <c r="I124" s="641"/>
      <c r="J124" s="641"/>
      <c r="K124" s="631">
        <f>ROUND((K92-K123),-1)</f>
        <v>342750</v>
      </c>
      <c r="L124" s="631"/>
    </row>
    <row r="125" spans="2:12" ht="15" customHeight="1" thickTop="1" thickBot="1">
      <c r="B125" s="652" t="s">
        <v>346</v>
      </c>
      <c r="C125" s="653"/>
      <c r="D125" s="653"/>
      <c r="E125" s="653"/>
      <c r="F125" s="653"/>
      <c r="G125" s="654"/>
      <c r="H125" s="654"/>
      <c r="I125" s="643"/>
      <c r="J125" s="655"/>
      <c r="K125" s="631">
        <f>ROUND(IF(K124&lt;=250000,0,IF(K124&lt;=500000,(K124-250000)*0.05,IF(K124&lt;=1000000,12500+(K124-500000)*0.2,IF(K124&gt;1000000,112500+(K124-1000000)*0.3,"0")))),0)</f>
        <v>4638</v>
      </c>
      <c r="L125" s="631"/>
    </row>
    <row r="126" spans="2:12" ht="15" customHeight="1" thickTop="1" thickBot="1">
      <c r="B126" s="647" t="s">
        <v>347</v>
      </c>
      <c r="C126" s="648"/>
      <c r="D126" s="648"/>
      <c r="E126" s="648"/>
      <c r="F126" s="648"/>
      <c r="G126" s="199"/>
      <c r="H126" s="200"/>
      <c r="I126" s="649">
        <f>COMPUTATION!O59</f>
        <v>4638</v>
      </c>
      <c r="J126" s="631"/>
      <c r="K126" s="631"/>
      <c r="L126" s="631"/>
    </row>
    <row r="127" spans="2:12" ht="15" customHeight="1" thickTop="1" thickBot="1">
      <c r="B127" s="650" t="s">
        <v>348</v>
      </c>
      <c r="C127" s="650"/>
      <c r="D127" s="650"/>
      <c r="E127" s="650"/>
      <c r="F127" s="650"/>
      <c r="G127" s="651"/>
      <c r="H127" s="651"/>
      <c r="I127" s="641"/>
      <c r="J127" s="641"/>
      <c r="K127" s="631">
        <f>K125-I126</f>
        <v>0</v>
      </c>
      <c r="L127" s="631"/>
    </row>
    <row r="128" spans="2:12" ht="15" customHeight="1" thickTop="1" thickBot="1">
      <c r="B128" s="656" t="s">
        <v>349</v>
      </c>
      <c r="C128" s="656"/>
      <c r="D128" s="656"/>
      <c r="E128" s="656"/>
      <c r="F128" s="656"/>
      <c r="G128" s="641"/>
      <c r="H128" s="641"/>
      <c r="I128" s="641"/>
      <c r="J128" s="641"/>
      <c r="K128" s="631">
        <f>ROUND((K127*0.04),0)</f>
        <v>0</v>
      </c>
      <c r="L128" s="631"/>
    </row>
    <row r="129" spans="2:12" ht="16.5" customHeight="1" thickTop="1" thickBot="1">
      <c r="B129" s="657" t="s">
        <v>350</v>
      </c>
      <c r="C129" s="657"/>
      <c r="D129" s="657"/>
      <c r="E129" s="657"/>
      <c r="F129" s="657"/>
      <c r="G129" s="641"/>
      <c r="H129" s="641"/>
      <c r="I129" s="641"/>
      <c r="J129" s="641"/>
      <c r="K129" s="631">
        <f>K127+K128</f>
        <v>0</v>
      </c>
      <c r="L129" s="631"/>
    </row>
    <row r="130" spans="2:12" ht="15" customHeight="1" thickTop="1" thickBot="1">
      <c r="B130" s="656" t="s">
        <v>351</v>
      </c>
      <c r="C130" s="656"/>
      <c r="D130" s="656"/>
      <c r="E130" s="656"/>
      <c r="F130" s="656"/>
      <c r="G130" s="641"/>
      <c r="H130" s="641"/>
      <c r="I130" s="641"/>
      <c r="J130" s="641"/>
      <c r="K130" s="631">
        <f>COMPUTATION!O63</f>
        <v>0</v>
      </c>
      <c r="L130" s="631"/>
    </row>
    <row r="131" spans="2:12" ht="15" customHeight="1" thickTop="1" thickBot="1">
      <c r="B131" s="657" t="s">
        <v>352</v>
      </c>
      <c r="C131" s="657"/>
      <c r="D131" s="657"/>
      <c r="E131" s="657"/>
      <c r="F131" s="657"/>
      <c r="G131" s="641"/>
      <c r="H131" s="641"/>
      <c r="I131" s="641"/>
      <c r="J131" s="641"/>
      <c r="K131" s="631">
        <f>K129-K130</f>
        <v>0</v>
      </c>
      <c r="L131" s="631"/>
    </row>
    <row r="132" spans="2:12" ht="15" customHeight="1" thickTop="1" thickBot="1">
      <c r="B132" s="657" t="s">
        <v>353</v>
      </c>
      <c r="C132" s="657"/>
      <c r="D132" s="657"/>
      <c r="E132" s="657"/>
      <c r="F132" s="657"/>
      <c r="G132" s="657"/>
      <c r="H132" s="657"/>
      <c r="I132" s="657"/>
      <c r="J132" s="657"/>
      <c r="K132" s="631">
        <f>COMPUTATION!O66</f>
        <v>2496</v>
      </c>
      <c r="L132" s="661"/>
    </row>
    <row r="133" spans="2:12" ht="15" customHeight="1" thickTop="1" thickBot="1">
      <c r="B133" s="665" t="str">
        <f>IF(K131&gt;K132,"Income Tax Payable",IF(K131&lt;K132,"Income Tax Refundable","Income Tax Payble/Refundable"))</f>
        <v>Income Tax Refundable</v>
      </c>
      <c r="C133" s="666"/>
      <c r="D133" s="666"/>
      <c r="E133" s="666"/>
      <c r="F133" s="666"/>
      <c r="G133" s="666"/>
      <c r="H133" s="666"/>
      <c r="I133" s="666"/>
      <c r="J133" s="667"/>
      <c r="K133" s="631">
        <f>IF(K131&gt;K132,K131-K132,K132-K131)</f>
        <v>2496</v>
      </c>
      <c r="L133" s="631"/>
    </row>
    <row r="134" spans="2:12" ht="26.25" customHeight="1" thickTop="1">
      <c r="B134" s="662" t="s">
        <v>273</v>
      </c>
      <c r="C134" s="662"/>
      <c r="D134" s="662"/>
      <c r="E134" s="662"/>
      <c r="F134" s="662"/>
      <c r="G134" s="662"/>
      <c r="H134" s="662"/>
      <c r="I134" s="662"/>
      <c r="J134" s="662"/>
      <c r="K134" s="662"/>
      <c r="L134" s="662"/>
    </row>
    <row r="135" spans="2:12" ht="15.95" customHeight="1">
      <c r="B135" s="172" t="s">
        <v>274</v>
      </c>
      <c r="C135" s="659" t="str">
        <f>B6&amp;","</f>
        <v>B.E.O.PICHHOR,</v>
      </c>
      <c r="D135" s="659"/>
      <c r="E135" s="659"/>
      <c r="F135" s="201" t="s">
        <v>275</v>
      </c>
      <c r="G135" s="663" t="str">
        <f>IF(G60="","",G60)</f>
        <v/>
      </c>
      <c r="H135" s="663"/>
      <c r="I135" s="663"/>
      <c r="J135" s="663"/>
      <c r="K135" s="664" t="s">
        <v>276</v>
      </c>
      <c r="L135" s="664"/>
    </row>
    <row r="136" spans="2:12" ht="15.95" customHeight="1">
      <c r="B136" s="658" t="s">
        <v>277</v>
      </c>
      <c r="C136" s="658"/>
      <c r="D136" s="659" t="str">
        <f>D61</f>
        <v>PRINCIPAL</v>
      </c>
      <c r="E136" s="659"/>
      <c r="F136" s="659"/>
      <c r="G136" s="660" t="s">
        <v>278</v>
      </c>
      <c r="H136" s="660"/>
      <c r="I136" s="660"/>
      <c r="J136" s="660"/>
      <c r="K136" s="660"/>
      <c r="L136" s="660"/>
    </row>
    <row r="137" spans="2:12" ht="15.95" customHeight="1">
      <c r="B137" s="172" t="s">
        <v>279</v>
      </c>
      <c r="C137" s="202">
        <f>K132</f>
        <v>2496</v>
      </c>
      <c r="D137" s="668" t="str">
        <f>IF(OR(LEN(FLOOR(C62,1))=13,FLOOR(C62,1)&lt;=0),"Out of range",PROPER(SUBSTITUTE(CONCATENATE(CHOOSE(MID(TEXT(INT(C62),REPT(0,12)),1,1)+1,"","one hundred ","two hundred ","three hundred ","four hundred ","five hundred ","six hundred ","seven hundred ","eight hundred ","nine hundred "),CHOOSE(MID(TEXT(INT(C62),REPT(0,12)),2,1)+1,"",CHOOSE(MID(TEXT(INT(C62),REPT(0,12)),3,1)+1,"ten","eleven","twelve","thirteen","fourteen","fifteen","sixteen","seventeen","eighteen","nineteen"),"twenty","thirty","forty","fifty","sixty","seventy","eighty","ninety"),IF(VALUE(MID(TEXT(INT(C62),REPT(0,12)),2,1))&gt;1,CHOOSE(MID(TEXT(INT(C62),REPT(0,12)),3,1)+1,"","-one","-two","-three","-four","-five","-six","-seven","-eight","-nine"),IF(VALUE(MID(TEXT(INT(C62),REPT(0,12)),2,1))=0,CHOOSE(MID(TEXT(INT(C62),REPT(0,12)),3,1)+1,"","one","two","three","four","five","six","seven","eight","nine"),"")),IF(C62&gt;=10^9," billion ",""),CHOOSE(MID(TEXT(INT(C62),REPT(0,12)),4,1)+1,"","one hundred ","two hundred ","three hundred ","four hundred ","five hundred ","six hundred ","seven hundred ","eight hundred ","nine hundred "),CHOOSE(MID(TEXT(INT(C62),REPT(0,12)),5,1)+1,"",CHOOSE(MID(TEXT(INT(C62),REPT(0,12)),6,1)+1,"ten","eleven","twelve","thirteen","fourteen","fifteen","sixteen","seventeen","eighteen","nineteen"),"twenty","thirty","forty","fifty","sixty","seventy","eighty","ninety"),IF(VALUE(MID(TEXT(INT(C62),REPT(0,12)),5,1))&gt;1,CHOOSE(MID(TEXT(INT(C62),REPT(0,12)),6,1)+1,"","-one","-two","-three","-four","-five","-six","-seven","-eight","-nine"),IF(VALUE(MID(TEXT(INT(C62),REPT(0,12)),5,1))=0,CHOOSE(MID(TEXT(INT(C62),REPT(0,12)),6,1)+1,"","one","two","three","four","five","six","seven","eight","nine"),"")),IF(VALUE(MID(TEXT(INT(C62),REPT(0,12)),4,3))&gt;0," million ",""),CHOOSE(MID(TEXT(INT(C62),REPT(0,12)),7,1)+1,"","one hundred ","two hundred ","three hundred ","four hundred ","five hundred ","six hundred ","seven hundred ","eight hundred ","nine hundred "),CHOOSE(MID(TEXT(INT(C62),REPT(0,12)),8,1)+1,"",CHOOSE(MID(TEXT(INT(C62),REPT(0,12)),9,1)+1,"ten","eleven","twelve","thirteen","fourteen","fifteen","sixteen","seventeen","eighteen","nineteen"),"twenty","thirty","forty","fifty","sixty","seventy","eighty","ninety"),IF(VALUE(MID(TEXT(INT(C62),REPT(0,12)),8,1))&gt;1,CHOOSE(MID(TEXT(INT(C62),REPT(0,12)),9,1)+1,"","-one","-two","-three","-four","-five","-six","-seven","-eight","-nine"),IF(VALUE(MID(TEXT(INT(C62),REPT(0,12)),8,1))=0,CHOOSE(MID(TEXT(INT(C62),REPT(0,12)),9,1)+1,"","one","two","three","four","five","six","seven","eight","nine"),"")),IF(VALUE(MID(TEXT(INT(C62),REPT(0,12)),7,3))," thousand ",""),CHOOSE(MID(TEXT(INT(C62),REPT(0,12)),10,1)+1,"","one hundred ","two hundred ","three hundred ","four hundred ","five hundred ","six hundred ","seven hundred ","eight hundred ","nine hundred "),CHOOSE(MID(TEXT(INT(C62),REPT(0,12)),11,1)+1,"",CHOOSE(MID(TEXT(INT(C62),REPT(0,12)),12,1)+1,"ten","eleven","twelve","thirteen","fourteen","fifteen","sixteen","seventeen","eighteen","nineteen"),"twenty","thirty","forty","fifty","sixty","seventy","eighty","ninety"),IF(VALUE(MID(TEXT(INT(C62),REPT(0,12)),11,1))&gt;1,CHOOSE(MID(TEXT(INT(C62),REPT(0,12)),12,1)+1,"","-one","-two","-three","-four","-five","-six","-seven","-eight","-nine"),IF(VALUE(MID(TEXT(INT(C62),REPT(0,12)),11,1))=0,CHOOSE(MID(TEXT(INT(C62),REPT(0,12)),12,1)+1,"","one","two","three","four","five","six","seven","eight","nine"),""))),"  "," ")&amp;IF(FLOOR(C62,1)&gt;1," Rupees"," Rupees"))&amp;IF(ISERROR(FIND(".",C62,1)),""," and "&amp;PROPER(IF(LEN(LEFT(TRIM(MID(SUBSTITUTE('[2]16 NO.'!$B$62,".",REPT(" ",255)),255,200)),2))=1,CHOOSE(1*LEFT(TRIM(MID(SUBSTITUTE('[2]16 NO.'!$B$62,".",REPT(" ",255)),255,200)),2),"ten","twenty","thirty","forty","fifty","sixty","seventy","eighty","ninety")&amp;" Paise","")&amp;CONCATENATE(CHOOSE(MID(TEXT(INT(LEFT(TRIM(MID(SUBSTITUTE('[2]16 NO.'!$B$62,".",REPT(" ",255)),255,200)),2)),REPT(0,12)),11,1)+1,"",CHOOSE(MID(TEXT(INT(LEFT(TRIM(MID(SUBSTITUTE('[2]16 NO.'!$B$62,".",REPT(" ",255)),255,200)),2)),REPT(0,12)),12,1)+1,"ten","eleven","twelve","thirteen","fourteen","fifteen","sixteen","seventeen","eighteen","nineteen"),"twenty","thirty","forty","fifty","sixty","seventy","eighty","ninety"),IF(VALUE(MID(TEXT(INT(LEFT(TRIM(MID(SUBSTITUTE('[2]16 NO.'!$B$62,".",REPT(" ",255)),255,200)),2)),REPT(0,12)),11,1))&gt;1,CHOOSE(MID(TEXT(INT(LEFT(TRIM(MID(SUBSTITUTE('[2]16 NO.'!$B$62,".",REPT(" ",255)),255,200)),2)),REPT(0,12)),12,1)+1,"","-one","-two","-three","-four","-five","-six","-seven","-eight","-nine")&amp;" Paise",IF(LEFT(TRIM(MID(SUBSTITUTE('[2]16 NO.'!$B$62,".",REPT(" ",255)),255,200)),2)="01","one Paise",IF(LEFT(TRIM(MID(SUBSTITUTE('[2]16 NO.'!$B$62,".",REPT(" ",255)),255,200)),1)="0",CHOOSE(MID(TEXT(INT(LEFT(TRIM(MID(SUBSTITUTE('[2]16 NO.'!$B$62,".",REPT(" ",255)),255,200)),2)),REPT(0,12)),12,1)+1,"","one","two","three","four","five","six","seven","eight","nine")&amp;" Paise","")))))))</f>
        <v>Two Thousand Four Hundred Ninety-Six Rupees</v>
      </c>
      <c r="E137" s="668"/>
      <c r="F137" s="668"/>
      <c r="G137" s="668"/>
      <c r="H137" s="668"/>
      <c r="I137" s="660" t="s">
        <v>365</v>
      </c>
      <c r="J137" s="660"/>
      <c r="K137" s="660"/>
      <c r="L137" s="660"/>
    </row>
    <row r="138" spans="2:12" ht="32.1" customHeight="1">
      <c r="B138" s="580" t="s">
        <v>366</v>
      </c>
      <c r="C138" s="580"/>
      <c r="D138" s="580"/>
      <c r="E138" s="580"/>
      <c r="F138" s="580"/>
      <c r="G138" s="580"/>
      <c r="H138" s="580"/>
      <c r="I138" s="580"/>
      <c r="J138" s="580"/>
      <c r="K138" s="580"/>
      <c r="L138" s="580"/>
    </row>
    <row r="139" spans="2:12" ht="24.75" customHeight="1">
      <c r="B139" s="567" t="s">
        <v>281</v>
      </c>
      <c r="C139" s="567"/>
      <c r="D139" s="670" t="str">
        <f>D65</f>
        <v xml:space="preserve">GHS HARIJAN BASTI PICHHORE </v>
      </c>
      <c r="E139" s="670"/>
      <c r="F139" s="567"/>
      <c r="G139" s="567"/>
      <c r="H139" s="567"/>
      <c r="I139" s="567"/>
      <c r="J139" s="567"/>
      <c r="K139" s="567"/>
      <c r="L139" s="567"/>
    </row>
    <row r="140" spans="2:12" ht="17.25" customHeight="1">
      <c r="B140" s="668" t="s">
        <v>282</v>
      </c>
      <c r="C140" s="668"/>
      <c r="D140" s="574">
        <f ca="1">TODAY()</f>
        <v>44224</v>
      </c>
      <c r="E140" s="574"/>
      <c r="F140" s="671" t="s">
        <v>283</v>
      </c>
      <c r="G140" s="671"/>
      <c r="H140" s="671"/>
      <c r="I140" s="671"/>
      <c r="J140" s="671"/>
      <c r="K140" s="671"/>
      <c r="L140" s="671"/>
    </row>
    <row r="141" spans="2:12" ht="18.75" customHeight="1">
      <c r="B141" s="668" t="s">
        <v>284</v>
      </c>
      <c r="C141" s="668"/>
      <c r="D141" s="565" t="str">
        <f>D136</f>
        <v>PRINCIPAL</v>
      </c>
      <c r="E141" s="565"/>
      <c r="F141" s="191" t="s">
        <v>363</v>
      </c>
      <c r="G141" s="669" t="str">
        <f>B6</f>
        <v>B.E.O.PICHHOR</v>
      </c>
      <c r="H141" s="669"/>
      <c r="I141" s="669"/>
      <c r="J141" s="669"/>
      <c r="K141" s="669"/>
      <c r="L141" s="669"/>
    </row>
    <row r="142" spans="2:12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</row>
  </sheetData>
  <sheetProtection password="C407" sheet="1" objects="1" scenarios="1" formatCells="0" formatColumns="0" formatRows="0"/>
  <mergeCells count="396">
    <mergeCell ref="B141:C141"/>
    <mergeCell ref="D141:E141"/>
    <mergeCell ref="G141:L141"/>
    <mergeCell ref="B139:C139"/>
    <mergeCell ref="D139:E139"/>
    <mergeCell ref="F139:L139"/>
    <mergeCell ref="B140:C140"/>
    <mergeCell ref="D140:E140"/>
    <mergeCell ref="F140:L140"/>
    <mergeCell ref="B136:C136"/>
    <mergeCell ref="D136:F136"/>
    <mergeCell ref="G136:L136"/>
    <mergeCell ref="B138:L138"/>
    <mergeCell ref="B132:J132"/>
    <mergeCell ref="K132:L132"/>
    <mergeCell ref="K133:L133"/>
    <mergeCell ref="B134:L134"/>
    <mergeCell ref="C135:E135"/>
    <mergeCell ref="G135:J135"/>
    <mergeCell ref="K135:L135"/>
    <mergeCell ref="B133:J133"/>
    <mergeCell ref="I137:L137"/>
    <mergeCell ref="D137:H137"/>
    <mergeCell ref="B130:F130"/>
    <mergeCell ref="G130:H130"/>
    <mergeCell ref="I130:J130"/>
    <mergeCell ref="K130:L130"/>
    <mergeCell ref="B131:F131"/>
    <mergeCell ref="G131:H131"/>
    <mergeCell ref="I131:J131"/>
    <mergeCell ref="K131:L131"/>
    <mergeCell ref="B128:F128"/>
    <mergeCell ref="G128:H128"/>
    <mergeCell ref="I128:J128"/>
    <mergeCell ref="K128:L128"/>
    <mergeCell ref="B129:F129"/>
    <mergeCell ref="G129:H129"/>
    <mergeCell ref="I129:J129"/>
    <mergeCell ref="K129:L129"/>
    <mergeCell ref="K125:L125"/>
    <mergeCell ref="B126:F126"/>
    <mergeCell ref="I126:J126"/>
    <mergeCell ref="K126:L126"/>
    <mergeCell ref="B127:F127"/>
    <mergeCell ref="G127:H127"/>
    <mergeCell ref="I127:J127"/>
    <mergeCell ref="K127:L127"/>
    <mergeCell ref="B125:J125"/>
    <mergeCell ref="K122:L122"/>
    <mergeCell ref="B123:F123"/>
    <mergeCell ref="G123:H123"/>
    <mergeCell ref="I123:J123"/>
    <mergeCell ref="K123:L123"/>
    <mergeCell ref="B124:D124"/>
    <mergeCell ref="E124:F124"/>
    <mergeCell ref="G124:H124"/>
    <mergeCell ref="I124:J124"/>
    <mergeCell ref="K124:L124"/>
    <mergeCell ref="I121:J121"/>
    <mergeCell ref="C122:F122"/>
    <mergeCell ref="G122:H122"/>
    <mergeCell ref="I122:J122"/>
    <mergeCell ref="C119:F119"/>
    <mergeCell ref="G119:H119"/>
    <mergeCell ref="I119:J119"/>
    <mergeCell ref="C120:F120"/>
    <mergeCell ref="G120:H120"/>
    <mergeCell ref="I120:J120"/>
    <mergeCell ref="K114:L121"/>
    <mergeCell ref="C115:F115"/>
    <mergeCell ref="G115:H115"/>
    <mergeCell ref="I115:J115"/>
    <mergeCell ref="C116:F116"/>
    <mergeCell ref="G116:H116"/>
    <mergeCell ref="I116:J116"/>
    <mergeCell ref="I111:K111"/>
    <mergeCell ref="B112:L112"/>
    <mergeCell ref="B113:F113"/>
    <mergeCell ref="G113:H113"/>
    <mergeCell ref="I113:J113"/>
    <mergeCell ref="K113:L113"/>
    <mergeCell ref="C117:F117"/>
    <mergeCell ref="G117:H117"/>
    <mergeCell ref="I117:J117"/>
    <mergeCell ref="C118:F118"/>
    <mergeCell ref="G118:H118"/>
    <mergeCell ref="I118:J118"/>
    <mergeCell ref="C114:F114"/>
    <mergeCell ref="G114:H114"/>
    <mergeCell ref="I114:J114"/>
    <mergeCell ref="C121:F121"/>
    <mergeCell ref="G121:H121"/>
    <mergeCell ref="I109:J109"/>
    <mergeCell ref="K109:L109"/>
    <mergeCell ref="C110:F110"/>
    <mergeCell ref="G110:H110"/>
    <mergeCell ref="I110:J110"/>
    <mergeCell ref="K110:L110"/>
    <mergeCell ref="E107:F107"/>
    <mergeCell ref="G107:H107"/>
    <mergeCell ref="E108:F108"/>
    <mergeCell ref="G108:H108"/>
    <mergeCell ref="I108:J108"/>
    <mergeCell ref="K108:L108"/>
    <mergeCell ref="I96:J107"/>
    <mergeCell ref="K96:L107"/>
    <mergeCell ref="E99:F99"/>
    <mergeCell ref="G99:H99"/>
    <mergeCell ref="E100:F100"/>
    <mergeCell ref="G100:H100"/>
    <mergeCell ref="E101:F101"/>
    <mergeCell ref="G101:H101"/>
    <mergeCell ref="B96:B110"/>
    <mergeCell ref="D96:D108"/>
    <mergeCell ref="E96:F96"/>
    <mergeCell ref="G96:H96"/>
    <mergeCell ref="E97:F97"/>
    <mergeCell ref="G97:H97"/>
    <mergeCell ref="E98:F98"/>
    <mergeCell ref="G98:H98"/>
    <mergeCell ref="E104:F104"/>
    <mergeCell ref="G104:H104"/>
    <mergeCell ref="E105:F105"/>
    <mergeCell ref="G105:H105"/>
    <mergeCell ref="E106:F106"/>
    <mergeCell ref="G106:H106"/>
    <mergeCell ref="E102:F102"/>
    <mergeCell ref="G102:H102"/>
    <mergeCell ref="E103:F103"/>
    <mergeCell ref="G103:H103"/>
    <mergeCell ref="C109:F109"/>
    <mergeCell ref="G109:H109"/>
    <mergeCell ref="B95:F95"/>
    <mergeCell ref="G95:H95"/>
    <mergeCell ref="I95:J95"/>
    <mergeCell ref="K95:L95"/>
    <mergeCell ref="K87:L87"/>
    <mergeCell ref="B88:F88"/>
    <mergeCell ref="K88:L91"/>
    <mergeCell ref="B89:E89"/>
    <mergeCell ref="B90:E90"/>
    <mergeCell ref="B91:E91"/>
    <mergeCell ref="I91:J91"/>
    <mergeCell ref="B86:F86"/>
    <mergeCell ref="G86:H94"/>
    <mergeCell ref="I86:J86"/>
    <mergeCell ref="B87:F87"/>
    <mergeCell ref="I87:J90"/>
    <mergeCell ref="B92:F92"/>
    <mergeCell ref="I92:J94"/>
    <mergeCell ref="K92:L92"/>
    <mergeCell ref="B93:F93"/>
    <mergeCell ref="K93:L94"/>
    <mergeCell ref="B94:F94"/>
    <mergeCell ref="D82:F82"/>
    <mergeCell ref="G82:H82"/>
    <mergeCell ref="B78:D78"/>
    <mergeCell ref="G78:H78"/>
    <mergeCell ref="B79:F79"/>
    <mergeCell ref="G79:H80"/>
    <mergeCell ref="B83:C83"/>
    <mergeCell ref="D83:F83"/>
    <mergeCell ref="G83:H83"/>
    <mergeCell ref="B68:L68"/>
    <mergeCell ref="B69:L69"/>
    <mergeCell ref="B70:F70"/>
    <mergeCell ref="G70:H70"/>
    <mergeCell ref="I70:J73"/>
    <mergeCell ref="K70:L86"/>
    <mergeCell ref="B71:F71"/>
    <mergeCell ref="G71:H71"/>
    <mergeCell ref="B72:F72"/>
    <mergeCell ref="G72:H72"/>
    <mergeCell ref="I79:J79"/>
    <mergeCell ref="B80:F80"/>
    <mergeCell ref="B73:F73"/>
    <mergeCell ref="G73:H73"/>
    <mergeCell ref="B74:F74"/>
    <mergeCell ref="G74:H77"/>
    <mergeCell ref="I74:J74"/>
    <mergeCell ref="B75:F75"/>
    <mergeCell ref="I75:J78"/>
    <mergeCell ref="B77:D77"/>
    <mergeCell ref="B81:C81"/>
    <mergeCell ref="D81:F81"/>
    <mergeCell ref="G81:H81"/>
    <mergeCell ref="B82:C82"/>
    <mergeCell ref="B66:C66"/>
    <mergeCell ref="D66:E66"/>
    <mergeCell ref="F66:L66"/>
    <mergeCell ref="B67:C67"/>
    <mergeCell ref="D67:E67"/>
    <mergeCell ref="G67:L67"/>
    <mergeCell ref="D62:H62"/>
    <mergeCell ref="I62:L62"/>
    <mergeCell ref="B63:L63"/>
    <mergeCell ref="B64:L64"/>
    <mergeCell ref="B65:C65"/>
    <mergeCell ref="D65:E65"/>
    <mergeCell ref="F65:L65"/>
    <mergeCell ref="B58:L58"/>
    <mergeCell ref="B59:L59"/>
    <mergeCell ref="C60:E60"/>
    <mergeCell ref="G60:J60"/>
    <mergeCell ref="K60:L60"/>
    <mergeCell ref="B61:C61"/>
    <mergeCell ref="D61:F61"/>
    <mergeCell ref="G61:L61"/>
    <mergeCell ref="C56:D56"/>
    <mergeCell ref="E56:F56"/>
    <mergeCell ref="G56:H56"/>
    <mergeCell ref="I56:J56"/>
    <mergeCell ref="K56:L56"/>
    <mergeCell ref="C57:D57"/>
    <mergeCell ref="E57:L57"/>
    <mergeCell ref="C54:D54"/>
    <mergeCell ref="E54:F54"/>
    <mergeCell ref="G54:H54"/>
    <mergeCell ref="I54:J54"/>
    <mergeCell ref="K54:L54"/>
    <mergeCell ref="C55:D55"/>
    <mergeCell ref="E55:F55"/>
    <mergeCell ref="G55:H55"/>
    <mergeCell ref="I55:J55"/>
    <mergeCell ref="K55:L55"/>
    <mergeCell ref="C52:D52"/>
    <mergeCell ref="E52:F52"/>
    <mergeCell ref="G52:H52"/>
    <mergeCell ref="I52:J52"/>
    <mergeCell ref="K52:L52"/>
    <mergeCell ref="C53:D53"/>
    <mergeCell ref="E53:F53"/>
    <mergeCell ref="G53:H53"/>
    <mergeCell ref="I53:J53"/>
    <mergeCell ref="K53:L53"/>
    <mergeCell ref="C50:D50"/>
    <mergeCell ref="E50:F50"/>
    <mergeCell ref="G50:H50"/>
    <mergeCell ref="I50:J50"/>
    <mergeCell ref="K50:L50"/>
    <mergeCell ref="C51:D51"/>
    <mergeCell ref="E51:F51"/>
    <mergeCell ref="G51:H51"/>
    <mergeCell ref="I51:J51"/>
    <mergeCell ref="K51:L51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46:D46"/>
    <mergeCell ref="E46:F46"/>
    <mergeCell ref="G46:H46"/>
    <mergeCell ref="I46:J46"/>
    <mergeCell ref="K46:L46"/>
    <mergeCell ref="C47:D47"/>
    <mergeCell ref="E47:F47"/>
    <mergeCell ref="G47:H47"/>
    <mergeCell ref="I47:J47"/>
    <mergeCell ref="K47:L47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K42:L42"/>
    <mergeCell ref="C43:D43"/>
    <mergeCell ref="E43:F43"/>
    <mergeCell ref="G43:H43"/>
    <mergeCell ref="I43:J43"/>
    <mergeCell ref="K43:L43"/>
    <mergeCell ref="C38:D38"/>
    <mergeCell ref="E38:L38"/>
    <mergeCell ref="B39:L39"/>
    <mergeCell ref="B40:L40"/>
    <mergeCell ref="B41:B42"/>
    <mergeCell ref="C41:D42"/>
    <mergeCell ref="E41:L41"/>
    <mergeCell ref="E42:F42"/>
    <mergeCell ref="G42:H42"/>
    <mergeCell ref="I42:J42"/>
    <mergeCell ref="C36:D36"/>
    <mergeCell ref="G36:I36"/>
    <mergeCell ref="J36:L36"/>
    <mergeCell ref="C37:D37"/>
    <mergeCell ref="G37:I37"/>
    <mergeCell ref="J37:L37"/>
    <mergeCell ref="C34:D34"/>
    <mergeCell ref="G34:I34"/>
    <mergeCell ref="J34:L34"/>
    <mergeCell ref="C35:D35"/>
    <mergeCell ref="G35:I35"/>
    <mergeCell ref="J35:L35"/>
    <mergeCell ref="C32:D32"/>
    <mergeCell ref="G32:I32"/>
    <mergeCell ref="J32:L32"/>
    <mergeCell ref="C33:D33"/>
    <mergeCell ref="G33:I33"/>
    <mergeCell ref="J33:L33"/>
    <mergeCell ref="C30:D30"/>
    <mergeCell ref="G30:I30"/>
    <mergeCell ref="J30:L30"/>
    <mergeCell ref="C31:D31"/>
    <mergeCell ref="G31:I31"/>
    <mergeCell ref="J31:L31"/>
    <mergeCell ref="C28:D28"/>
    <mergeCell ref="G28:I28"/>
    <mergeCell ref="J28:L28"/>
    <mergeCell ref="C29:D29"/>
    <mergeCell ref="G29:I29"/>
    <mergeCell ref="J29:L29"/>
    <mergeCell ref="C26:D26"/>
    <mergeCell ref="G26:I26"/>
    <mergeCell ref="J26:L26"/>
    <mergeCell ref="C27:D27"/>
    <mergeCell ref="G27:I27"/>
    <mergeCell ref="J27:L27"/>
    <mergeCell ref="C24:D24"/>
    <mergeCell ref="G24:I24"/>
    <mergeCell ref="J24:L24"/>
    <mergeCell ref="C25:D25"/>
    <mergeCell ref="G25:I25"/>
    <mergeCell ref="J25:L25"/>
    <mergeCell ref="B20:L20"/>
    <mergeCell ref="B21:L21"/>
    <mergeCell ref="B22:B23"/>
    <mergeCell ref="C22:D23"/>
    <mergeCell ref="E22:L22"/>
    <mergeCell ref="G23:I23"/>
    <mergeCell ref="J23:L23"/>
    <mergeCell ref="C18:E18"/>
    <mergeCell ref="G18:I18"/>
    <mergeCell ref="J18:L18"/>
    <mergeCell ref="B19:E19"/>
    <mergeCell ref="G19:I19"/>
    <mergeCell ref="J19:L19"/>
    <mergeCell ref="C16:E16"/>
    <mergeCell ref="G16:I16"/>
    <mergeCell ref="J16:L16"/>
    <mergeCell ref="C17:E17"/>
    <mergeCell ref="G17:I17"/>
    <mergeCell ref="J17:L17"/>
    <mergeCell ref="C15:E15"/>
    <mergeCell ref="G15:I15"/>
    <mergeCell ref="J15:L15"/>
    <mergeCell ref="C11:F11"/>
    <mergeCell ref="G11:H12"/>
    <mergeCell ref="I11:J11"/>
    <mergeCell ref="K11:L11"/>
    <mergeCell ref="C12:D12"/>
    <mergeCell ref="I12:J12"/>
    <mergeCell ref="K12:L12"/>
    <mergeCell ref="B7:F7"/>
    <mergeCell ref="G7:L7"/>
    <mergeCell ref="B8:D8"/>
    <mergeCell ref="E8:F8"/>
    <mergeCell ref="G8:I8"/>
    <mergeCell ref="J8:L8"/>
    <mergeCell ref="B13:L13"/>
    <mergeCell ref="C14:E14"/>
    <mergeCell ref="G14:I14"/>
    <mergeCell ref="J14:L14"/>
    <mergeCell ref="B84:C84"/>
    <mergeCell ref="D84:E84"/>
    <mergeCell ref="G84:H85"/>
    <mergeCell ref="I84:J84"/>
    <mergeCell ref="B85:C85"/>
    <mergeCell ref="D85:E85"/>
    <mergeCell ref="I85:J85"/>
    <mergeCell ref="B1:L1"/>
    <mergeCell ref="B2:L2"/>
    <mergeCell ref="B3:L3"/>
    <mergeCell ref="B4:L4"/>
    <mergeCell ref="B5:F5"/>
    <mergeCell ref="G5:L5"/>
    <mergeCell ref="I80:J83"/>
    <mergeCell ref="B76:F76"/>
    <mergeCell ref="B9:D9"/>
    <mergeCell ref="E9:F9"/>
    <mergeCell ref="G9:I9"/>
    <mergeCell ref="J9:L9"/>
    <mergeCell ref="B10:F10"/>
    <mergeCell ref="G10:H10"/>
    <mergeCell ref="I10:L10"/>
    <mergeCell ref="B6:F6"/>
    <mergeCell ref="G6:L6"/>
  </mergeCells>
  <conditionalFormatting sqref="E96:E97">
    <cfRule type="containsBlanks" dxfId="0" priority="1">
      <formula>LEN(TRIM(E96))=0</formula>
    </cfRule>
  </conditionalFormatting>
  <dataValidations count="1">
    <dataValidation allowBlank="1" showInputMessage="1" showErrorMessage="1" promptTitle="Vijay" prompt="Employee Reference No. provided by the Employer (If available)." sqref="J9:L9"/>
  </dataValidations>
  <pageMargins left="0.45" right="0.35" top="0.25" bottom="0.25" header="0.3" footer="0.3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Instructions</vt:lpstr>
      <vt:lpstr>Master Data</vt:lpstr>
      <vt:lpstr>Extra Ded. </vt:lpstr>
      <vt:lpstr>GA55 </vt:lpstr>
      <vt:lpstr>COMPUTATION</vt:lpstr>
      <vt:lpstr>Form No. 16</vt:lpstr>
      <vt:lpstr>gp</vt:lpstr>
      <vt:lpstr>Month</vt:lpstr>
      <vt:lpstr>Month1</vt:lpstr>
      <vt:lpstr>pay</vt:lpstr>
      <vt:lpstr>COMPUTATION!Print_Area</vt:lpstr>
      <vt:lpstr>'Form No. 16'!Print_Area</vt:lpstr>
      <vt:lpstr>und</vt:lpstr>
      <vt:lpstr>ye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2021-01-24T05:33:28Z</cp:lastPrinted>
  <dcterms:created xsi:type="dcterms:W3CDTF">2020-09-27T00:42:28Z</dcterms:created>
  <dcterms:modified xsi:type="dcterms:W3CDTF">2021-01-28T18:23:49Z</dcterms:modified>
</cp:coreProperties>
</file>